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0C90BC47-000A-4CA7-B817-223E4BB545D5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Inventory'!$A$5:$R$282</definedName>
    <definedName name="_xlnm._FilterDatabase" localSheetId="4" hidden="1">'Stock Bal_Audit'!$B$3:$E$106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Bal_Audit'!$B$3:$E$107</definedName>
  </definedNames>
  <calcPr calcId="191029" iterateDelta="1E-4"/>
  <pivotCaches>
    <pivotCache cacheId="4" r:id="rId6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273" i="1" l="1"/>
  <c r="O268" i="1"/>
  <c r="O223" i="1"/>
  <c r="O285" i="1"/>
  <c r="P285" i="1" s="1"/>
  <c r="O276" i="1"/>
  <c r="O278" i="1"/>
  <c r="O284" i="1"/>
  <c r="P284" i="1" s="1"/>
  <c r="O280" i="1"/>
  <c r="P280" i="1" s="1"/>
  <c r="O277" i="1"/>
  <c r="O263" i="1"/>
  <c r="P278" i="1"/>
  <c r="O270" i="1"/>
  <c r="O269" i="1"/>
  <c r="O272" i="1"/>
  <c r="O248" i="1"/>
  <c r="O230" i="1"/>
  <c r="O262" i="1"/>
  <c r="O102" i="1"/>
  <c r="O247" i="1"/>
  <c r="M274" i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P286" i="1"/>
  <c r="P279" i="1"/>
  <c r="P281" i="1"/>
  <c r="P282" i="1"/>
  <c r="P283" i="1"/>
  <c r="L286" i="1"/>
  <c r="M286" i="1" s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93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25" i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00" i="1" l="1"/>
  <c r="O135" i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<sst xmlns="http://schemas.openxmlformats.org/spreadsheetml/2006/main" count="3159" uniqueCount="870">
  <si>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</si>
  <si>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</si>
  <si>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</si>
  <si>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</si>
  <si>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</si>
  <si>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</si>
  <si>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</si>
  <si>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</si>
  <si>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</si>
  <si>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</si>
  <si>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</si>
  <si>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</si>
  <si>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</si>
  <si>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</si>
  <si>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</si>
  <si>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</si>
  <si>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</si>
  <si>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</si>
  <si>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</si>
  <si>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</si>
  <si>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</si>
  <si>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</si>
  <si>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</si>
  <si>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</si>
  <si>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</si>
  <si>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</si>
  <si>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</si>
  <si>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</si>
  <si>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</si>
  <si>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</si>
  <si>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</si>
  <si>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</si>
  <si>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</si>
  <si>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</si>
  <si>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</si>
  <si>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</si>
  <si>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</si>
  <si>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</si>
  <si>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</si>
  <si>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</si>
  <si>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</si>
  <si>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</si>
  <si>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</si>
  <si>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</si>
  <si>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</si>
  <si>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</si>
  <si>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</si>
  <si>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</si>
  <si>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</si>
  <si>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</si>
  <si>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</si>
  <si>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</si>
  <si>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</si>
  <si>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</si>
  <si>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</si>
  <si>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</si>
  <si>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</si>
  <si>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</si>
  <si>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</si>
  <si>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</si>
  <si>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</si>
  <si>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</si>
  <si>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</si>
  <si>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</si>
  <si>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</si>
  <si>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</si>
  <si>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</si>
  <si>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</si>
  <si>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</si>
  <si>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</si>
  <si>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</si>
  <si>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</si>
  <si>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</si>
  <si>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</si>
  <si>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</si>
  <si>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</si>
  <si>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</si>
  <si>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</si>
  <si>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</si>
  <si>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</si>
  <si>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</si>
  <si>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</si>
  <si>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</si>
  <si>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</si>
  <si>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</si>
  <si>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</si>
  <si>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</si>
  <si>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</si>
  <si>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</si>
  <si>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</si>
  <si>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</si>
  <si>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</si>
  <si>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</si>
  <si>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</si>
  <si>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</si>
  <si>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</si>
  <si>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</si>
  <si>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</si>
  <si>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</si>
  <si>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</si>
  <si>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</si>
  <si>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</si>
  <si>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</si>
  <si>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</si>
  <si>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</si>
  <si>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</si>
  <si>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</si>
  <si>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</si>
  <si>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</si>
  <si>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</si>
  <si>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</si>
  <si>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</si>
  <si>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</si>
  <si>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</si>
  <si>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</si>
  <si>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</si>
  <si>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</si>
  <si>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</si>
  <si>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</si>
  <si>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</si>
  <si>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</si>
  <si>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</si>
  <si>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</si>
  <si>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</si>
  <si>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</si>
  <si>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</si>
  <si>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</si>
  <si>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</si>
  <si>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</si>
  <si>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</si>
  <si>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</si>
  <si>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</si>
  <si>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</si>
  <si>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</si>
  <si>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</si>
  <si>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</si>
  <si>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</si>
  <si>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</si>
  <si>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</si>
  <si>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</si>
  <si>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</si>
  <si>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</si>
  <si>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</si>
  <si>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</si>
  <si>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</si>
  <si>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</si>
  <si>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</si>
  <si>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</si>
  <si>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</si>
  <si>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</si>
  <si>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</si>
  <si>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</si>
  <si>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</si>
  <si>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</si>
  <si>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</si>
  <si>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</si>
  <si>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</si>
  <si>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</si>
  <si>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</si>
  <si>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</si>
  <si>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</si>
  <si>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</si>
  <si>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</si>
  <si>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</si>
  <si>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</si>
  <si>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</si>
  <si>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</si>
  <si>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</si>
  <si>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</si>
  <si>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</si>
  <si>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</si>
  <si>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</si>
  <si>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</si>
  <si>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</si>
  <si>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</si>
  <si>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</si>
  <si>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</si>
  <si>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</si>
  <si>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</si>
  <si>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</si>
  <si>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</si>
  <si>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</si>
  <si>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</si>
  <si>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</si>
  <si>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</si>
  <si>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</si>
  <si>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</si>
  <si>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</si>
  <si>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</si>
  <si>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</si>
  <si>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</si>
  <si>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</si>
  <si>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</si>
  <si>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</si>
  <si>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</si>
  <si>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</si>
  <si>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</si>
  <si>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</si>
  <si>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</si>
  <si>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</si>
  <si>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</si>
  <si>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</si>
  <si>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</si>
  <si>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</si>
  <si>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</si>
  <si>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</si>
  <si>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</si>
  <si>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</si>
  <si>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</si>
  <si>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</si>
  <si>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</si>
  <si>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</si>
  <si>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</si>
  <si>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</si>
  <si>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</si>
  <si>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</si>
  <si>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</si>
  <si>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</si>
  <si>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</si>
  <si>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</si>
  <si>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</si>
  <si>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</si>
  <si>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</si>
  <si>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</si>
  <si>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</si>
  <si>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</si>
  <si>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</si>
  <si>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</si>
  <si>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</si>
  <si>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</si>
  <si>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</si>
  <si>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</si>
  <si>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</si>
  <si>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</si>
  <si>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</si>
  <si>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</si>
  <si>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</si>
  <si>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</si>
  <si>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</si>
  <si>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</si>
  <si>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</si>
  <si>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</si>
  <si>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</si>
  <si>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</si>
  <si>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</si>
  <si>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</si>
  <si>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</si>
  <si>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</si>
  <si>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</si>
  <si>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</si>
  <si>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</si>
  <si>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</si>
  <si>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</si>
  <si>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</si>
  <si>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</si>
  <si>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</si>
  <si>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</si>
  <si>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</si>
  <si>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</si>
  <si>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</si>
  <si>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</si>
  <si>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</si>
  <si>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</si>
  <si>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</si>
  <si>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</si>
  <si>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</si>
  <si>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</si>
  <si>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</si>
  <si>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</si>
  <si>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</si>
  <si>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</si>
  <si>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</si>
  <si>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</si>
  <si>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</si>
  <si>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</si>
  <si>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</si>
  <si>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</si>
  <si>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</si>
  <si>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</si>
  <si>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</si>
  <si>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</si>
  <si>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</si>
  <si>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</si>
  <si>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</si>
  <si>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</si>
  <si>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</si>
  <si>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</si>
  <si>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</si>
  <si>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</si>
  <si>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</si>
  <si>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</si>
  <si>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</si>
  <si>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</si>
  <si>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</si>
  <si>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</si>
  <si>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</si>
  <si>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</si>
  <si>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</si>
  <si>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</si>
  <si>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</si>
  <si>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</si>
  <si>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</si>
  <si>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</si>
  <si>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</si>
  <si>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</si>
  <si>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</si>
  <si>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</si>
  <si>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</si>
  <si>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</si>
  <si>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</si>
  <si>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</si>
  <si>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</si>
  <si>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</si>
  <si>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</si>
  <si>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</si>
  <si>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</si>
  <si>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</si>
  <si>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</si>
  <si>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</si>
  <si>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</si>
  <si>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</si>
  <si>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</si>
  <si>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</si>
  <si>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</si>
  <si>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</si>
  <si>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</si>
  <si>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</si>
  <si>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</si>
  <si>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</si>
  <si>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</si>
  <si>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</si>
  <si>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</si>
  <si>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</si>
  <si>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</si>
  <si>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</si>
  <si>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</si>
  <si>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</si>
  <si>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</si>
  <si>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</si>
  <si>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</si>
  <si>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</si>
  <si>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</si>
  <si>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</si>
  <si>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</si>
  <si>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</si>
  <si>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</si>
  <si>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</si>
  <si>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</si>
  <si>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</si>
  <si>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</si>
  <si>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</si>
  <si>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</si>
  <si>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</si>
  <si>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</si>
  <si>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</si>
  <si>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</si>
  <si>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</si>
  <si>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</si>
  <si>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</si>
  <si>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</si>
  <si>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</si>
  <si>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</si>
  <si>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</si>
  <si>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</si>
  <si>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</si>
  <si>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</si>
  <si>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</si>
  <si>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</si>
  <si>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</si>
  <si>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</si>
  <si>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</si>
  <si>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</si>
  <si>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</si>
  <si>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</si>
  <si>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</si>
  <si>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</si>
  <si>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</si>
  <si>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</si>
  <si>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</si>
  <si>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</si>
  <si>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</si>
  <si>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</si>
  <si>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</si>
  <si>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</si>
  <si>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</si>
  <si>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</si>
  <si>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</si>
  <si>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</si>
  <si>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</si>
  <si>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</si>
  <si>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</si>
  <si>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</si>
  <si>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</si>
  <si>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</si>
  <si>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</si>
  <si>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</si>
  <si>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</si>
  <si>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</si>
  <si>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</si>
  <si>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</si>
  <si>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</si>
  <si>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</si>
  <si>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</si>
  <si>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</si>
  <si>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</si>
  <si>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</si>
  <si>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</si>
  <si>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</si>
  <si>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</si>
  <si>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</si>
  <si>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</si>
  <si>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</si>
  <si>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</si>
  <si>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</si>
  <si>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</si>
  <si>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</si>
  <si>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</si>
  <si>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</si>
  <si>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</si>
  <si>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</si>
  <si>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</si>
  <si>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</si>
  <si>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</si>
  <si>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</si>
  <si>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</si>
  <si>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</si>
  <si>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</si>
  <si>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</si>
  <si>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</si>
  <si>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</si>
  <si>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</si>
  <si>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</si>
  <si>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</si>
  <si>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</si>
  <si>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</si>
  <si>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</si>
  <si>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</si>
  <si>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</si>
  <si>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</si>
  <si>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</si>
  <si>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</si>
  <si>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</si>
  <si>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</si>
  <si>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</si>
  <si>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</si>
  <si>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</si>
  <si>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</si>
  <si>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</si>
  <si>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</si>
  <si>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</si>
  <si>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</si>
  <si>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</si>
  <si>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</si>
  <si>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</si>
  <si>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</si>
  <si>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</si>
  <si>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</si>
  <si>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</si>
  <si>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</si>
  <si>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</si>
  <si>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</si>
  <si>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</si>
  <si>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</si>
  <si>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</si>
  <si>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</si>
  <si>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</si>
  <si>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</si>
  <si>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</si>
  <si>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</si>
  <si>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</si>
  <si>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</si>
  <si>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</si>
  <si>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</si>
  <si>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</si>
  <si>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</si>
  <si>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</si>
  <si>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</si>
  <si>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</si>
  <si>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</si>
  <si>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</si>
  <si>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</si>
  <si>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</si>
  <si>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</si>
  <si>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</si>
  <si>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</si>
  <si>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</si>
  <si>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</si>
  <si>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</si>
  <si>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</si>
  <si>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</si>
  <si>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</si>
  <si>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</si>
  <si>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</si>
  <si>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</si>
  <si>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</si>
  <si>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</si>
  <si>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</si>
  <si>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</si>
  <si>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</si>
  <si>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</si>
  <si>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</si>
  <si>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</si>
  <si>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</si>
  <si>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</si>
  <si>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</si>
  <si>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</si>
  <si>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</si>
  <si>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</si>
  <si>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</si>
  <si>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</si>
  <si>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</si>
  <si>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</si>
  <si>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</si>
  <si>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</si>
  <si>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</si>
  <si>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</si>
  <si>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</si>
  <si>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</si>
  <si>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</si>
  <si>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</si>
  <si>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</si>
  <si>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</si>
  <si>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</si>
  <si>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</si>
  <si>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</si>
  <si>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</si>
  <si>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</si>
  <si>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</si>
  <si>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</si>
  <si>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</si>
  <si>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</si>
  <si>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</si>
  <si>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</si>
  <si>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</si>
  <si>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</si>
  <si>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</si>
  <si>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</si>
  <si>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</si>
  <si>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</si>
  <si>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</si>
  <si>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</si>
  <si>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</si>
  <si>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</si>
  <si>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</si>
  <si>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</si>
  <si>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</si>
  <si>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</si>
  <si>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</si>
  <si>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</si>
  <si>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</si>
  <si>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</si>
  <si>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</si>
  <si>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</si>
  <si>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</si>
  <si>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</si>
  <si>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</si>
  <si>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</si>
  <si>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</si>
  <si>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</si>
  <si>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</si>
  <si>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</si>
  <si>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</si>
  <si>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</si>
  <si>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</si>
  <si>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</si>
  <si>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</si>
  <si>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</si>
  <si>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</si>
  <si>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</si>
  <si>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</si>
  <si>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</si>
  <si>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</si>
  <si>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</si>
  <si>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</si>
  <si>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</si>
  <si>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</si>
  <si>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</si>
  <si>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</si>
  <si>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</si>
  <si>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</si>
  <si>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</si>
  <si>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</si>
  <si>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</si>
  <si>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</si>
  <si>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</si>
  <si>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</si>
  <si>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</si>
  <si>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</si>
  <si>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</si>
  <si>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</si>
  <si>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</si>
  <si>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</si>
  <si>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</si>
  <si>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</si>
  <si>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</si>
  <si>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</si>
  <si>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</si>
  <si>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</si>
  <si>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</si>
  <si>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</si>
  <si>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</si>
  <si>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</si>
  <si>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</si>
  <si>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</si>
  <si>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</si>
  <si>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</si>
  <si>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</si>
  <si>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</si>
  <si>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</si>
  <si>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</si>
  <si>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</si>
  <si>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</si>
  <si>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</si>
  <si>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</si>
  <si>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</si>
  <si>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</si>
  <si>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</si>
  <si>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</si>
  <si>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</si>
  <si>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</si>
  <si>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</si>
  <si>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</si>
  <si>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</si>
  <si>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</si>
  <si>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</si>
  <si>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</si>
  <si>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</si>
  <si>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</si>
  <si>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</si>
  <si>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</si>
  <si>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</si>
  <si>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</si>
  <si>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8/4, 21/5, 3/11, 11/1/22</t>
  </si>
  <si>
    <t>DO98(4), DO89(1),  DO154(4), DO187(4)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</si>
  <si>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</si>
  <si>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</si>
  <si>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</si>
  <si>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</si>
  <si>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</si>
  <si>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</si>
  <si>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</si>
  <si>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</si>
  <si>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</si>
  <si>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</si>
  <si>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</si>
  <si>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</si>
  <si>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</si>
  <si>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</si>
  <si>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</si>
  <si>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</si>
  <si>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</si>
  <si>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</si>
  <si>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</si>
  <si>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</si>
  <si>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</si>
  <si>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</si>
  <si>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</si>
  <si>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</si>
  <si>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</si>
  <si>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</si>
  <si>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</si>
  <si>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</si>
  <si>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</si>
  <si>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</si>
  <si>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</si>
  <si>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</si>
  <si>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</si>
  <si>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</si>
  <si>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</si>
  <si>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</si>
  <si>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</si>
  <si>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</si>
  <si>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</si>
  <si>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</si>
  <si>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</si>
  <si>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</si>
  <si>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</si>
  <si>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</si>
  <si>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</si>
  <si>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</si>
  <si>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</si>
  <si>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</si>
  <si>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</si>
  <si>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</si>
  <si>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</si>
  <si>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6/1/22</t>
  </si>
  <si>
    <t>DO183(3)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</si>
  <si>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</si>
  <si>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</si>
  <si>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</si>
  <si>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</si>
  <si>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</si>
  <si>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</si>
  <si>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</si>
  <si>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</si>
  <si>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</si>
  <si>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</si>
  <si>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</si>
  <si>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</si>
  <si>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</si>
  <si>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</si>
  <si>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</si>
  <si>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</si>
  <si>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</si>
  <si>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</si>
  <si>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</si>
  <si>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</si>
  <si>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</si>
  <si>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</si>
  <si>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</si>
  <si>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</si>
  <si>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</si>
  <si>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</si>
  <si>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</si>
  <si>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</si>
  <si>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</si>
  <si>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</si>
  <si>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</si>
  <si>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</si>
  <si>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</si>
  <si>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</si>
  <si>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</si>
  <si>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</si>
  <si>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</si>
  <si>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</si>
  <si>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</si>
  <si>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</si>
  <si>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</si>
  <si>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</si>
  <si>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</si>
  <si>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</si>
  <si>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</si>
  <si>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</si>
  <si>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</si>
  <si>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</si>
  <si>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</si>
  <si>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</si>
  <si>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</si>
  <si>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</si>
  <si>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</si>
  <si>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</si>
  <si>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</si>
  <si>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</si>
  <si>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</si>
  <si>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</si>
  <si>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</si>
  <si>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</si>
  <si>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</si>
  <si>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</si>
  <si>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</si>
  <si>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</si>
  <si>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</si>
  <si>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</si>
  <si>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</si>
  <si>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</si>
  <si>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</si>
  <si>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</si>
  <si>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</si>
  <si>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</si>
  <si>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</si>
  <si>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</si>
  <si>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</si>
  <si>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</si>
  <si>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</si>
  <si>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</si>
  <si>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</si>
  <si>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</si>
  <si>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</si>
  <si>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</si>
  <si>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</si>
  <si>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</si>
  <si>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</si>
  <si>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</si>
  <si>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</si>
  <si>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</si>
  <si>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</si>
  <si>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15/2/22, 26/2/22, 8/3/22, 1/4/22</t>
  </si>
  <si>
    <t>DO199(3), DO208(1), DO210(2), DO230(2)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</si>
  <si>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</si>
  <si>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</si>
  <si>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</si>
  <si>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</si>
  <si>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</si>
  <si>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</si>
  <si>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</si>
  <si>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</si>
  <si>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</si>
  <si>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</si>
  <si>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</si>
  <si>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24/3, 1/4, 21/5, 10/1/22, 8/4/22</t>
  </si>
  <si>
    <t>DO91(2), DO96(2), DO106(2), DO186(2), DO233(2)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</si>
  <si>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</si>
  <si>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</si>
  <si>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</si>
  <si>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</si>
  <si>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</si>
  <si>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</si>
  <si>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</si>
  <si>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</si>
  <si>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</si>
  <si>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</si>
  <si>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</si>
  <si>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</si>
  <si>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</si>
  <si>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</si>
  <si>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</si>
  <si>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</si>
  <si>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</si>
  <si>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</si>
  <si>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</si>
  <si>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</si>
  <si>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</si>
  <si>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</si>
  <si>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</si>
  <si>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</si>
  <si>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</si>
  <si>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</si>
  <si>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5/4/22, 9/4/22, 19/4/22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</si>
  <si>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</si>
  <si>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</si>
  <si>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</si>
  <si>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</si>
  <si>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</si>
  <si>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</si>
  <si>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</si>
  <si>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Fume silica HJSIL 200(10Kg)</t>
  </si>
  <si>
    <t>RA Resin Nor 3338W (220Kg)</t>
  </si>
  <si>
    <t>Set</t>
  </si>
  <si>
    <t>RM Epoxy primer 15Kg + Hardener 7.5Kg (22.5Kg)</t>
  </si>
  <si>
    <t>21/4/22</t>
  </si>
  <si>
    <t>DO246(1)</t>
  </si>
  <si>
    <t>9/4/22, 21/4/22</t>
  </si>
  <si>
    <t>DO234(1), DO246(3)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</si>
  <si>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</si>
  <si>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</si>
  <si>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</si>
  <si>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</si>
  <si>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</si>
  <si>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</si>
  <si>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</si>
  <si>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</si>
  <si>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</si>
  <si>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</si>
  <si>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28/4/22</t>
  </si>
  <si>
    <t>DO252(2)</t>
  </si>
  <si>
    <t>16/4/22, 20/4/22, 28/4/22</t>
  </si>
  <si>
    <t>DO243(2), DO245(1), DO252(2)</t>
  </si>
  <si>
    <t>16/4/22, 16/4/22, 19/4/22, 20/4/22, 23/4/22, 26/4/22, 28/4/22, 28/4/22</t>
  </si>
  <si>
    <t>DO242(4), DO243(9), DO244(6), DO245(1), DO249(8), DO250(3), DO252(4), DO253(5)</t>
  </si>
  <si>
    <t>21/4/22, 28/4/22</t>
  </si>
  <si>
    <t>DO246(3), DO254(2)</t>
  </si>
  <si>
    <t>12/4/22, 28/4/22</t>
  </si>
  <si>
    <t>DO237(1), DO254(1)</t>
  </si>
  <si>
    <t>22/4/22, 27/4/22, 28/4/22</t>
  </si>
  <si>
    <t>DO248(2), DO251(12), DO254(2)</t>
  </si>
  <si>
    <t>29/4/22</t>
  </si>
  <si>
    <t>DO255(1)</t>
  </si>
  <si>
    <t>28/4/22, 30/4/22</t>
  </si>
  <si>
    <t>DO254(1), DO256(4)</t>
  </si>
  <si>
    <t>DO253(4), DO256(12)</t>
  </si>
  <si>
    <t>23/4/22, 26/4/22, 28/4/22, 30/4/22</t>
  </si>
  <si>
    <t>DO249(4), DO250(2), DO253(5), DO256(6)</t>
  </si>
  <si>
    <t>28/4/22, 28/4/22, 30/4/22</t>
  </si>
  <si>
    <t>DO253(3), DO254(5), DO256(4)</t>
  </si>
  <si>
    <t>DO253(1), DO256(1)</t>
  </si>
  <si>
    <t>24/3/21, 10/2/22, 22/2/22, 11/3/22, 8/4/22, 21/4/22</t>
  </si>
  <si>
    <t>DO89(1), DO198(2), DO205(1), DO213(3), DO232(2), DO246(1)</t>
  </si>
  <si>
    <t>DO246(5), DO249(3), DO250(1), DO251(5), DO253(3), DO254(1)</t>
  </si>
  <si>
    <t>21/4/22, 23/4/22, 26/4/22, 27/4/22, 28/4/22, 28/4/22</t>
  </si>
  <si>
    <t>RM Fume silica HJSIL 200(10Kg)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</si>
</sst>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42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0" borderId="0" xfId="0" applyFon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0" fontId="8" fillId="0" borderId="4" xfId="0" applyFont="1" applyFill="1" applyBorder="1" applyAlignment="1">
      <alignment wrapText="1"/>
    </xf>
    <xf numFmtId="0" fontId="8" fillId="3" borderId="7" xfId="0" quotePrefix="1" applyFont="1" applyFill="1" applyBorder="1"/>
    <xf numFmtId="0" fontId="8" fillId="3" borderId="7" xfId="0" quotePrefix="1" applyFont="1" applyFill="1" applyBorder="1" applyAlignment="1"/>
    <xf numFmtId="0" fontId="0" fillId="3" borderId="4" xfId="0" quotePrefix="1" applyFill="1" applyBorder="1" applyAlignment="1"/>
    <xf numFmtId="0" fontId="8" fillId="3" borderId="7" xfId="0" quotePrefix="1" applyFont="1" applyFill="1" applyBorder="1" applyAlignment="1">
      <alignment horizontal="left"/>
    </xf>
    <xf numFmtId="0" fontId="8" fillId="0" borderId="7" xfId="0" quotePrefix="1" applyFont="1" applyBorder="1"/>
    <xf numFmtId="43" fontId="8" fillId="0" borderId="4" xfId="1" applyFont="1" applyFill="1" applyBorder="1"/>
    <xf numFmtId="14" fontId="2" fillId="0" borderId="0" xfId="0" applyNumberFormat="1" applyFont="1" applyAlignment="1">
      <alignment horizontal="left" wrapText="1"/>
    </xf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FFFF66"/>
      <color rgb="FFFFFF99"/>
      <color rgb="FFFFFFCC"/>
      <color rgb="FFCCFFFF"/>
      <color rgb="FFCCECFF"/>
      <color rgb="FF99FF99"/>
      <color rgb="FF66FF99"/>
      <color rgb="FF99FFC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16" Type="http://schemas.openxmlformats.org/officeDocument/2006/relationships/image" Target="../media/image16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77" Type="http://schemas.openxmlformats.org/officeDocument/2006/relationships/image" Target="../media/image77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80" Type="http://schemas.openxmlformats.org/officeDocument/2006/relationships/image" Target="../media/image80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81" Type="http://schemas.openxmlformats.org/officeDocument/2006/relationships/image" Target="../media/image8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84.emf"/><Relationship Id="rId2" Type="http://schemas.openxmlformats.org/officeDocument/2006/relationships/image" Target="../media/image83.emf"/><Relationship Id="rId1" Type="http://schemas.openxmlformats.org/officeDocument/2006/relationships/image" Target="../media/image82.emf"/><Relationship Id="rId4" Type="http://schemas.openxmlformats.org/officeDocument/2006/relationships/image" Target="../media/image85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393700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590550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438150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49</xdr:row>
          <xdr:rowOff>6350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292100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323850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368300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406400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355600</xdr:colOff>
          <xdr:row>94</xdr:row>
          <xdr:rowOff>57150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71</xdr:row>
          <xdr:rowOff>6350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368300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330200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323850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323850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279400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279400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304800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138</xdr:row>
          <xdr:rowOff>393700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184150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406400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292100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157</xdr:row>
          <xdr:rowOff>641350</xdr:rowOff>
        </xdr:from>
        <xdr:to>
          <xdr:col>19</xdr:col>
          <xdr:colOff>463550</xdr:colOff>
          <xdr:row>157</xdr:row>
          <xdr:rowOff>838200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159</xdr:row>
          <xdr:rowOff>88900</xdr:rowOff>
        </xdr:from>
        <xdr:to>
          <xdr:col>19</xdr:col>
          <xdr:colOff>457200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693.555235879627" createdVersion="7" refreshedVersion="7" minRefreshableVersion="3" recordCount="281" xr:uid="{E081F0F0-CF85-4B29-919F-B99578815F96}">
  <cacheSource type="worksheet">
    <worksheetSource ref="A5:R286" sheet="Raw Inventory"/>
  </cacheSource>
  <cacheFields count="18">
    <cacheField name="Date" numFmtId="14">
      <sharedItems containsDate="1" containsMixedTypes="1" minDate="2019-12-19T00:00:00" maxDate="2022-04-30T00:00:00"/>
    </cacheField>
    <cacheField name="Period" numFmtId="0">
      <sharedItems containsString="0" containsBlank="1" containsNumber="1" containsInteger="1" minValue="1" maxValue="12" count="13">
        <n v="12"/>
        <n v="6"/>
        <n v="7"/>
        <n v="8"/>
        <n v="9"/>
        <n v="10"/>
        <n v="11"/>
        <n v="1"/>
        <n v="2"/>
        <n v="3"/>
        <n v="4"/>
        <n v="5"/>
        <m/>
      </sharedItems>
    </cacheField>
    <cacheField name="Year" numFmtId="0">
      <sharedItems containsString="0" containsBlank="1" containsNumber="1" containsInteger="1" minValue="2019" maxValue="2022" count="5">
        <n v="2019"/>
        <n v="2020"/>
        <n v="2021"/>
        <n v="2022"/>
        <m/>
      </sharedItems>
    </cacheField>
    <cacheField name="Invoice No" numFmtId="0">
      <sharedItems containsBlank="1" containsMixedTypes="1" containsNumber="1" containsInteger="1" minValue="13101" maxValue="100620" count="133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01124"/>
        <s v="0001127"/>
        <s v="00004352"/>
        <s v="00001130"/>
        <s v="00001131"/>
        <s v="00001132"/>
        <s v="00001136"/>
        <s v="T26044"/>
        <s v="T26142"/>
        <s v="00004423"/>
        <s v="T26168"/>
        <s v="I-000509"/>
        <s v="00004450"/>
        <s v="T26373"/>
        <s v="T26383"/>
        <s v="T26386"/>
        <s v="I-000515"/>
        <s v="T26428"/>
      </sharedItems>
    </cacheField>
    <cacheField name="Supplier" numFmtId="0">
      <sharedItems containsBlank="1" count="15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</sharedItems>
    </cacheField>
    <cacheField name="Product Code" numFmtId="0">
      <sharedItems/>
    </cacheField>
    <cacheField name="Product Code 2" numFmtId="0">
      <sharedItems count="102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Fume silica HJSIL 200(10Kg)"/>
        <s v="RA  Woven Roing 600 1120mm (45kg)"/>
        <s v="RA Resin Nor 3338W (220Kg)"/>
        <s v="RM Epoxy primer 15Kg + Hardener 7.5Kg (22.5Kg)"/>
      </sharedItems>
    </cacheField>
    <cacheField name="Delivery mode" numFmtId="0">
      <sharedItems containsBlank="1"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248425.6500000001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28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81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"/>
    <n v="10"/>
    <n v="2"/>
    <s v="DO91(2), DO96(2), DO106(2), DO186(2), DO233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, 3/11, 11/1/22"/>
    <n v="13"/>
    <n v="7"/>
    <s v="DO98(4), DO89(1),  DO154(4), DO187(4)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8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3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4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4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4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4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5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6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7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8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78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8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8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8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79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79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0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1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2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2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3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4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5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3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3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6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7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7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88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89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0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0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1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2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3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4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4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5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2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6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97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98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99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0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0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1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2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2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3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4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4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5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5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6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6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07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08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09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08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08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0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1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1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1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2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3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4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4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2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5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5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5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5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16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16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16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17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18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18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19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19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19"/>
    <x v="8"/>
    <s v="RG TR104 Hi Temp Wax"/>
    <x v="80"/>
    <s v="Ex"/>
    <n v="12"/>
    <s v="Tin"/>
    <n v="46"/>
    <n v="552"/>
    <n v="824765.20000000007"/>
    <s v="6/1/22"/>
    <n v="3"/>
    <n v="9"/>
    <s v="DO183(3)"/>
    <m/>
  </r>
  <r>
    <d v="2022-01-17T00:00:00"/>
    <x v="7"/>
    <x v="3"/>
    <x v="28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28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28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28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28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0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0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0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0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0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1"/>
    <x v="8"/>
    <s v="RG CSM 300 (30Kg) 64m(L) x 1040mm(W)"/>
    <x v="77"/>
    <s v="Ex"/>
    <n v="10"/>
    <s v="Roll"/>
    <n v="270"/>
    <n v="2700"/>
    <n v="897680.20000000007"/>
    <s v="15/2/22, 26/2/22, 8/3/22, 1/4/22"/>
    <n v="8"/>
    <n v="2"/>
    <s v="DO199(3), DO208(1), DO210(2), DO230(2)"/>
    <m/>
  </r>
  <r>
    <d v="2022-02-14T00:00:00"/>
    <x v="8"/>
    <x v="3"/>
    <x v="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28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22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28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28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28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23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23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23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23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24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25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25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26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28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12"/>
    <x v="4"/>
    <x v="28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"/>
    <n v="4"/>
    <n v="16"/>
    <s v="DO234(1), DO246(3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27"/>
    <x v="6"/>
    <s v="RE Frekote 770NC (1 Gallon)"/>
    <x v="42"/>
    <s v="Delivered"/>
    <n v="4"/>
    <s v="Tin"/>
    <n v="320"/>
    <n v="1280"/>
    <n v="1093678.9500000002"/>
    <s v="12/4/22, 28/4/22"/>
    <n v="2"/>
    <n v="2"/>
    <s v="DO237(1), DO254(1)"/>
    <m/>
  </r>
  <r>
    <d v="2022-04-12T00:00:00"/>
    <x v="10"/>
    <x v="3"/>
    <x v="12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2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3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3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30"/>
    <x v="14"/>
    <s v="RM CSM 450 64m(L) X 1860mm(W) (54kg)"/>
    <x v="95"/>
    <s v="Delivered"/>
    <n v="16"/>
    <s v="Roll"/>
    <n v="491.4"/>
    <n v="7862.4"/>
    <n v="1107383.3500000001"/>
    <s v="21/4/22, 28/4/22"/>
    <n v="4"/>
    <n v="12"/>
    <s v="DO246(3), DO254(2)"/>
    <m/>
  </r>
  <r>
    <d v="2022-04-14T00:00:00"/>
    <x v="10"/>
    <x v="3"/>
    <x v="131"/>
    <x v="11"/>
    <s v="RJ Mepoxe (5kg)"/>
    <x v="88"/>
    <s v="Ex"/>
    <n v="20"/>
    <s v="Bottle"/>
    <n v="55"/>
    <n v="1100"/>
    <n v="1108483.3500000001"/>
    <s v="16/4/22, 20/4/22, 28/4/22"/>
    <n v="5"/>
    <n v="15"/>
    <s v="DO243(2), DO245(1), DO252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32"/>
    <x v="14"/>
    <s v="RM Resin Nor 3317AW (220Kg)"/>
    <x v="97"/>
    <s v="Delivered"/>
    <n v="15"/>
    <s v="Drum"/>
    <n v="1892"/>
    <n v="28380"/>
    <n v="1153513.3500000001"/>
    <s v="28/4/22"/>
    <n v="2"/>
    <n v="13"/>
    <s v="DO252(2)"/>
    <m/>
  </r>
  <r>
    <d v="2022-04-20T00:00:00"/>
    <x v="10"/>
    <x v="3"/>
    <x v="132"/>
    <x v="14"/>
    <s v="RM Resin Nor 3338W (220Kg)"/>
    <x v="96"/>
    <s v="Delivered"/>
    <n v="20"/>
    <s v="Drum"/>
    <n v="1870"/>
    <n v="37400"/>
    <n v="1190913.3500000001"/>
    <s v="21/4/22, 23/4/22, 26/4/22, 27/4/22, 28/4/22, 28/2/22"/>
    <n v="18"/>
    <n v="2"/>
    <s v="DO246(5), DO249(3), DO250(1), DO251(5), DO253(3), DO254(1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Fume silica HJSIL 200(10Kg)"/>
    <x v="98"/>
    <s v="Ex"/>
    <n v="3"/>
    <s v="Bag"/>
    <n v="370"/>
    <n v="1110"/>
    <n v="1193893.3500000001"/>
    <m/>
    <m/>
    <n v="3"/>
    <m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"/>
    <n v="12"/>
    <n v="28"/>
    <s v="DO253(3), DO254(5), DO256(4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"/>
    <n v="16"/>
    <n v="4"/>
    <s v="DO248(2), DO251(12), DO254(2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"/>
    <n v="17"/>
    <n v="3"/>
    <s v="DO249(4), DO250(2), DO253(5), DO256(6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m/>
    <n v="10"/>
    <s v="Drum"/>
    <n v="1870"/>
    <n v="18700"/>
    <n v="1222203.3500000001"/>
    <s v="28/4/22, 30/4/22"/>
    <n v="5"/>
    <n v="5"/>
    <s v="DO254(1), DO256(4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m/>
    <m/>
    <n v="20"/>
    <m/>
    <m/>
  </r>
  <r>
    <d v="2022-04-27T00:00:00"/>
    <x v="10"/>
    <x v="3"/>
    <x v="28"/>
    <x v="0"/>
    <s v="RA  Woven Roing 600 1120mm (45kg)"/>
    <x v="99"/>
    <s v="Delivered"/>
    <n v="20"/>
    <s v="Roll"/>
    <n v="288"/>
    <n v="5760"/>
    <n v="1229863.3500000001"/>
    <m/>
    <m/>
    <n v="20"/>
    <m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m/>
    <m/>
    <n v="5"/>
    <m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"/>
    <n v="16"/>
    <n v="4"/>
    <s v="DO253(4), DO256(12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"/>
    <n v="2"/>
    <n v="2"/>
    <s v="DO253(1), DO256(1)"/>
    <m/>
  </r>
  <r>
    <d v="2022-04-29T00:00:00"/>
    <x v="10"/>
    <x v="3"/>
    <x v="28"/>
    <x v="14"/>
    <s v="RM Epoxy primer 15Kg + Hardener 7.5Kg"/>
    <x v="101"/>
    <s v="Delivered"/>
    <n v="1"/>
    <s v="Set"/>
    <n v="1092.3"/>
    <n v="1092.3"/>
    <n v="1248425.6500000001"/>
    <s v="29/4/22"/>
    <n v="1"/>
    <n v="0"/>
    <s v="DO255(1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5028AB-F034-4CB3-B073-594C2B4D47E2}" name="PivotTable2" cacheId="4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289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6">
        <item x="0"/>
        <item x="1"/>
        <item x="2"/>
        <item x="3"/>
        <item x="4"/>
        <item t="default"/>
      </items>
    </pivotField>
    <pivotField axis="axisRow" compact="0" outline="0" showAll="0" defaultSubtotal="0">
      <items count="133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6"/>
        <item x="75"/>
        <item x="78"/>
        <item x="81"/>
        <item x="82"/>
        <item x="83"/>
        <item x="88"/>
        <item x="73"/>
        <item x="74"/>
        <item x="79"/>
        <item x="80"/>
        <item x="84"/>
        <item x="85"/>
        <item x="86"/>
        <item x="87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8"/>
        <item x="109"/>
        <item x="110"/>
        <item x="111"/>
        <item x="112"/>
        <item x="113"/>
        <item x="107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6"/>
        <item x="125"/>
        <item x="77"/>
        <item x="127"/>
        <item x="128"/>
        <item x="129"/>
        <item x="130"/>
        <item x="131"/>
        <item x="132"/>
      </items>
    </pivotField>
    <pivotField axis="axisRow" compact="0" outline="0" showAll="0">
      <items count="16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compact="0" outline="0" showAll="0"/>
    <pivotField axis="axisRow" compact="0" outline="0" showAll="0">
      <items count="103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8"/>
        <item x="99"/>
        <item x="100"/>
        <item x="101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285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5"/>
      <x v="13"/>
    </i>
    <i r="3">
      <x v="71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t="default" r="1">
      <x/>
    </i>
    <i r="1">
      <x v="2"/>
      <x v="45"/>
      <x v="2"/>
    </i>
    <i r="3"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3"/>
    </i>
    <i r="3">
      <x v="4"/>
    </i>
    <i r="3">
      <x v="6"/>
    </i>
    <i r="3">
      <x v="8"/>
    </i>
    <i r="3">
      <x v="19"/>
    </i>
    <i r="3">
      <x v="24"/>
    </i>
    <i r="3">
      <x v="25"/>
    </i>
    <i r="3">
      <x v="31"/>
    </i>
    <i r="3">
      <x v="49"/>
    </i>
    <i r="3">
      <x v="99"/>
    </i>
    <i r="3">
      <x v="100"/>
    </i>
    <i t="default" r="1">
      <x/>
    </i>
    <i r="1">
      <x v="6"/>
      <x v="116"/>
      <x v="76"/>
    </i>
    <i r="2">
      <x v="123"/>
      <x v="76"/>
    </i>
    <i r="2">
      <x v="127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11"/>
      <x v="124"/>
      <x v="91"/>
    </i>
    <i r="2">
      <x v="131"/>
      <x v="91"/>
    </i>
    <i t="default" r="1">
      <x v="11"/>
    </i>
    <i r="1">
      <x v="14"/>
      <x v="45"/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6"/>
    </i>
    <i r="3">
      <x v="98"/>
    </i>
    <i r="3">
      <x v="101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t="default" r="1">
      <x v="14"/>
    </i>
    <i t="default">
      <x v="3"/>
    </i>
    <i>
      <x v="4"/>
      <x/>
      <x v="45"/>
      <x v="19"/>
    </i>
    <i t="default" r="1">
      <x/>
    </i>
    <i t="default"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E353A43-3AA7-423C-9D46-4DEB851D5980}" name="PivotTable1" cacheId="4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232" firstHeaderRow="1" firstDataRow="2" firstDataCol="2"/>
  <pivotFields count="18">
    <pivotField compact="0" numFmtId="14" outline="0" showAll="0"/>
    <pivotField axis="axisRow" compact="0" outline="0" showAll="0">
      <items count="14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x="12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0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8"/>
        <item x="99"/>
        <item x="100"/>
        <item x="101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228">
    <i>
      <x/>
      <x v="2"/>
    </i>
    <i r="1">
      <x v="4"/>
    </i>
    <i r="1">
      <x v="7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4"/>
    </i>
    <i r="1">
      <x v="47"/>
    </i>
    <i r="1">
      <x v="49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1"/>
    </i>
    <i r="1">
      <x v="44"/>
    </i>
    <i r="1">
      <x v="45"/>
    </i>
    <i r="1">
      <x v="47"/>
    </i>
    <i r="1">
      <x v="48"/>
    </i>
    <i t="default">
      <x v="11"/>
    </i>
    <i>
      <x v="12"/>
      <x v="11"/>
    </i>
    <i t="default">
      <x v="1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14DF57-5D7A-4F60-B681-0A785BE96112}" name="PivotTable2" cacheId="4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107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0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8"/>
        <item x="99"/>
        <item x="100"/>
        <item x="101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0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59" Type="http://schemas.openxmlformats.org/officeDocument/2006/relationships/image" Target="../media/image78.emf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45" Type="http://schemas.openxmlformats.org/officeDocument/2006/relationships/image" Target="../media/image71.emf"/><Relationship Id="rId161" Type="http://schemas.openxmlformats.org/officeDocument/2006/relationships/image" Target="../media/image79.emf"/><Relationship Id="rId166" Type="http://schemas.openxmlformats.org/officeDocument/2006/relationships/comments" Target="../comments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51" Type="http://schemas.openxmlformats.org/officeDocument/2006/relationships/image" Target="../media/image74.emf"/><Relationship Id="rId156" Type="http://schemas.openxmlformats.org/officeDocument/2006/relationships/oleObject" Target="../embeddings/oleObject77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141" Type="http://schemas.openxmlformats.org/officeDocument/2006/relationships/image" Target="../media/image69.emf"/><Relationship Id="rId146" Type="http://schemas.openxmlformats.org/officeDocument/2006/relationships/oleObject" Target="../embeddings/oleObject72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162" Type="http://schemas.openxmlformats.org/officeDocument/2006/relationships/oleObject" Target="../embeddings/oleObject80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52" Type="http://schemas.openxmlformats.org/officeDocument/2006/relationships/oleObject" Target="../embeddings/oleObject75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48" Type="http://schemas.openxmlformats.org/officeDocument/2006/relationships/oleObject" Target="../embeddings/oleObject73.bin"/><Relationship Id="rId164" Type="http://schemas.openxmlformats.org/officeDocument/2006/relationships/oleObject" Target="../embeddings/oleObject81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6" Type="http://schemas.openxmlformats.org/officeDocument/2006/relationships/oleObject" Target="../embeddings/oleObject7.bin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83.bin"/><Relationship Id="rId12" Type="http://schemas.openxmlformats.org/officeDocument/2006/relationships/image" Target="../media/image85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82.emf"/><Relationship Id="rId11" Type="http://schemas.openxmlformats.org/officeDocument/2006/relationships/oleObject" Target="../embeddings/oleObject85.bin"/><Relationship Id="rId5" Type="http://schemas.openxmlformats.org/officeDocument/2006/relationships/oleObject" Target="../embeddings/oleObject82.bin"/><Relationship Id="rId10" Type="http://schemas.openxmlformats.org/officeDocument/2006/relationships/image" Target="../media/image84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84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4"/>
  <sheetViews>
    <sheetView workbookViewId="0">
      <selection activeCell="A16" sqref="A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688</v>
      </c>
      <c r="B14" t="s">
        <v>41</v>
      </c>
      <c r="C14" t="s">
        <v>689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298"/>
  <sheetViews>
    <sheetView tabSelected="1" topLeftCell="A278" zoomScale="85" zoomScaleNormal="85" workbookViewId="0">
      <selection activeCell="R286" sqref="R286"/>
    </sheetView>
  </sheetViews>
  <sheetFormatPr defaultRowHeight="14.5" x14ac:dyDescent="0.35"/>
  <cols>
    <col min="1" max="1" width="11.08984375" style="99" customWidth="1"/>
    <col min="2" max="2" width="5.1796875" style="100" customWidth="1"/>
    <col min="3" max="3" width="5.54296875" style="100" customWidth="1"/>
    <col min="4" max="4" width="11.26953125" style="99" bestFit="1" customWidth="1"/>
    <col min="5" max="5" width="12" style="93" customWidth="1"/>
    <col min="6" max="6" width="20" style="93" customWidth="1"/>
    <col min="7" max="7" width="20.08984375" style="93" customWidth="1"/>
    <col min="8" max="8" width="9" style="93" customWidth="1"/>
    <col min="9" max="9" width="5.26953125" style="99" customWidth="1"/>
    <col min="10" max="10" width="5.6328125" style="93" customWidth="1"/>
    <col min="11" max="11" width="9.90625" style="93" customWidth="1"/>
    <col min="12" max="12" width="10.6328125" style="93" customWidth="1"/>
    <col min="13" max="13" width="13.26953125" style="93" customWidth="1"/>
    <col min="14" max="14" width="13.81640625" style="93" customWidth="1"/>
    <col min="15" max="15" width="5.26953125" style="93" customWidth="1"/>
    <col min="16" max="16" width="7.6328125" style="93" customWidth="1"/>
    <col min="17" max="17" width="19.08984375" style="93" customWidth="1"/>
    <col min="18" max="18" width="10.26953125" style="93" customWidth="1"/>
    <col min="19" max="19" width="2.90625" style="93" customWidth="1"/>
    <col min="20" max="16384" width="8.7265625" style="93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291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2" t="s">
        <v>325</v>
      </c>
      <c r="E6" s="113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2" t="s">
        <v>325</v>
      </c>
      <c r="E7" s="113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2" t="s">
        <v>325</v>
      </c>
      <c r="E8" s="113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2" t="s">
        <v>325</v>
      </c>
      <c r="E9" s="113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2" t="s">
        <v>325</v>
      </c>
      <c r="E10" s="113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4" t="s">
        <v>74</v>
      </c>
      <c r="E11" s="113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4" t="s">
        <v>74</v>
      </c>
      <c r="E12" s="113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4" t="s">
        <v>74</v>
      </c>
      <c r="E13" s="113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4" t="s">
        <v>74</v>
      </c>
      <c r="E14" s="113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5">
        <v>100620</v>
      </c>
      <c r="E15" s="116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4" t="s">
        <v>75</v>
      </c>
      <c r="E16" s="113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4" t="s">
        <v>75</v>
      </c>
      <c r="E17" s="113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4" t="s">
        <v>75</v>
      </c>
      <c r="E18" s="113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4" t="s">
        <v>75</v>
      </c>
      <c r="E19" s="113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4" t="s">
        <v>76</v>
      </c>
      <c r="E20" s="113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4" t="s">
        <v>76</v>
      </c>
      <c r="E21" s="113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4" t="s">
        <v>77</v>
      </c>
      <c r="E22" s="113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295</v>
      </c>
      <c r="O22" s="3">
        <v>2</v>
      </c>
      <c r="P22" s="9">
        <f t="shared" si="0"/>
        <v>0</v>
      </c>
      <c r="Q22" s="23" t="s">
        <v>296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4" t="s">
        <v>77</v>
      </c>
      <c r="E23" s="113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295</v>
      </c>
      <c r="O23" s="3">
        <v>1</v>
      </c>
      <c r="P23" s="9">
        <f t="shared" si="0"/>
        <v>0</v>
      </c>
      <c r="Q23" s="23" t="s">
        <v>297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4" t="s">
        <v>77</v>
      </c>
      <c r="E24" s="113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4" t="s">
        <v>78</v>
      </c>
      <c r="E25" s="113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4" t="s">
        <v>108</v>
      </c>
      <c r="E26" s="116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4" t="s">
        <v>109</v>
      </c>
      <c r="E27" s="116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4" t="s">
        <v>326</v>
      </c>
      <c r="E28" s="116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4" t="s">
        <v>404</v>
      </c>
      <c r="E29" s="116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4" t="s">
        <v>79</v>
      </c>
      <c r="E30" s="116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4" t="s">
        <v>80</v>
      </c>
      <c r="E31" s="116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4" t="s">
        <v>82</v>
      </c>
      <c r="E32" s="116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4" t="s">
        <v>82</v>
      </c>
      <c r="E33" s="116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4" t="s">
        <v>81</v>
      </c>
      <c r="E34" s="116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4" t="s">
        <v>83</v>
      </c>
      <c r="E35" s="116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4" t="s">
        <v>107</v>
      </c>
      <c r="E36" s="116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4" t="s">
        <v>107</v>
      </c>
      <c r="E37" s="116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4" t="s">
        <v>106</v>
      </c>
      <c r="E38" s="116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4" t="s">
        <v>106</v>
      </c>
      <c r="E39" s="116" t="s">
        <v>10</v>
      </c>
      <c r="F39" s="59" t="s">
        <v>265</v>
      </c>
      <c r="G39" s="60" t="s">
        <v>265</v>
      </c>
      <c r="H39" s="57" t="s">
        <v>47</v>
      </c>
      <c r="I39" s="17">
        <v>1</v>
      </c>
      <c r="J39" s="21" t="s">
        <v>215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17" t="s">
        <v>85</v>
      </c>
      <c r="E40" s="116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17" t="s">
        <v>85</v>
      </c>
      <c r="E41" s="116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17" t="s">
        <v>85</v>
      </c>
      <c r="E42" s="116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260</v>
      </c>
      <c r="O42" s="3">
        <f>1+2+2+1</f>
        <v>6</v>
      </c>
      <c r="P42" s="9">
        <f t="shared" si="8"/>
        <v>0</v>
      </c>
      <c r="Q42" s="23" t="s">
        <v>261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17" t="s">
        <v>85</v>
      </c>
      <c r="E43" s="116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246</v>
      </c>
      <c r="O43" s="3">
        <f>1+3+1+1</f>
        <v>6</v>
      </c>
      <c r="P43" s="9">
        <f t="shared" si="8"/>
        <v>0</v>
      </c>
      <c r="Q43" s="23" t="s">
        <v>247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17" t="s">
        <v>85</v>
      </c>
      <c r="E44" s="116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17" t="s">
        <v>110</v>
      </c>
      <c r="E45" s="117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43.5" x14ac:dyDescent="0.35">
      <c r="A46" s="41">
        <v>44105</v>
      </c>
      <c r="B46" s="39">
        <f t="shared" si="3"/>
        <v>10</v>
      </c>
      <c r="C46" s="75">
        <f t="shared" si="1"/>
        <v>2020</v>
      </c>
      <c r="D46" s="117" t="s">
        <v>148</v>
      </c>
      <c r="E46" s="117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553</v>
      </c>
      <c r="O46" s="3">
        <f>1+8+2+6+3</f>
        <v>20</v>
      </c>
      <c r="P46" s="9">
        <f t="shared" si="8"/>
        <v>0</v>
      </c>
      <c r="Q46" s="23" t="s">
        <v>554</v>
      </c>
      <c r="R46" s="23"/>
    </row>
    <row r="47" spans="1:18" customFormat="1" ht="58" x14ac:dyDescent="0.35">
      <c r="A47" s="41">
        <v>44105</v>
      </c>
      <c r="B47" s="39">
        <f t="shared" si="3"/>
        <v>10</v>
      </c>
      <c r="C47" s="75">
        <f t="shared" si="1"/>
        <v>2020</v>
      </c>
      <c r="D47" s="117" t="s">
        <v>148</v>
      </c>
      <c r="E47" s="117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548</v>
      </c>
      <c r="O47" s="3">
        <f>1+3+7+2+4+1+2</f>
        <v>20</v>
      </c>
      <c r="P47" s="9">
        <f t="shared" si="8"/>
        <v>0</v>
      </c>
      <c r="Q47" s="23" t="s">
        <v>699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17" t="s">
        <v>148</v>
      </c>
      <c r="E48" s="117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389</v>
      </c>
      <c r="O48" s="3">
        <f>1+1+5+2+4+1+1</f>
        <v>15</v>
      </c>
      <c r="P48" s="9">
        <f t="shared" si="8"/>
        <v>0</v>
      </c>
      <c r="Q48" s="23" t="s">
        <v>730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17" t="s">
        <v>118</v>
      </c>
      <c r="E49" s="117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17" t="s">
        <v>121</v>
      </c>
      <c r="E50" s="117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300</v>
      </c>
      <c r="O50" s="3">
        <f>1+2+1+1</f>
        <v>5</v>
      </c>
      <c r="P50" s="9">
        <f t="shared" si="8"/>
        <v>0</v>
      </c>
      <c r="Q50" s="23" t="s">
        <v>301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17" t="s">
        <v>121</v>
      </c>
      <c r="E51" s="117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268</v>
      </c>
      <c r="O51" s="3">
        <f>1+1+2+2+5+2+1+2+4</f>
        <v>20</v>
      </c>
      <c r="P51" s="9">
        <f t="shared" si="8"/>
        <v>0</v>
      </c>
      <c r="Q51" s="23" t="s">
        <v>267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17" t="s">
        <v>121</v>
      </c>
      <c r="E52" s="117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17" t="s">
        <v>122</v>
      </c>
      <c r="E53" s="117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17" t="s">
        <v>126</v>
      </c>
      <c r="E54" s="117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17" t="s">
        <v>124</v>
      </c>
      <c r="E55" s="117" t="s">
        <v>10</v>
      </c>
      <c r="F55" s="48" t="s">
        <v>245</v>
      </c>
      <c r="G55" s="64" t="s">
        <v>245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251</v>
      </c>
      <c r="O55" s="32">
        <f>1+3</f>
        <v>4</v>
      </c>
      <c r="P55" s="67">
        <f t="shared" si="8"/>
        <v>0</v>
      </c>
      <c r="Q55" s="23" t="s">
        <v>252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17" t="s">
        <v>127</v>
      </c>
      <c r="E56" s="117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17" t="s">
        <v>128</v>
      </c>
      <c r="E57" s="117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17" t="s">
        <v>128</v>
      </c>
      <c r="E58" s="117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17"/>
      <c r="E59" s="117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18" t="s">
        <v>175</v>
      </c>
      <c r="E60" s="117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17" t="s">
        <v>159</v>
      </c>
      <c r="E61" s="117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17" t="s">
        <v>160</v>
      </c>
      <c r="E62" s="117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255</v>
      </c>
      <c r="O62" s="3">
        <f>6+2+1+2+6+3</f>
        <v>20</v>
      </c>
      <c r="P62" s="9">
        <f t="shared" si="8"/>
        <v>0</v>
      </c>
      <c r="Q62" s="23" t="s">
        <v>256</v>
      </c>
      <c r="R62" s="23" t="s">
        <v>253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17" t="s">
        <v>174</v>
      </c>
      <c r="E63" s="117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264</v>
      </c>
      <c r="O63" s="3">
        <f>3+1+1</f>
        <v>5</v>
      </c>
      <c r="P63" s="9">
        <f t="shared" si="8"/>
        <v>0</v>
      </c>
      <c r="Q63" s="23" t="s">
        <v>262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18" t="s">
        <v>175</v>
      </c>
      <c r="E64" s="117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72.5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17" t="s">
        <v>161</v>
      </c>
      <c r="E65" s="117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819</v>
      </c>
      <c r="O65" s="3">
        <f>2+1+1+1+1+3+1</f>
        <v>10</v>
      </c>
      <c r="P65" s="9">
        <f>I65-O65</f>
        <v>0</v>
      </c>
      <c r="Q65" s="23" t="s">
        <v>820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17" t="s">
        <v>195</v>
      </c>
      <c r="E66" s="117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249</v>
      </c>
      <c r="O66" s="3">
        <f>4+4+8+4</f>
        <v>20</v>
      </c>
      <c r="P66" s="9">
        <f>I66-O66</f>
        <v>0</v>
      </c>
      <c r="Q66" s="23" t="s">
        <v>250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17" t="s">
        <v>195</v>
      </c>
      <c r="E67" s="117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19" t="s">
        <v>207</v>
      </c>
      <c r="E68" s="117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298</v>
      </c>
      <c r="O68" s="3">
        <f>1+3+3+1+5+2+1+1+1+2</f>
        <v>20</v>
      </c>
      <c r="P68" s="9">
        <f>I68-O68</f>
        <v>0</v>
      </c>
      <c r="Q68" s="23" t="s">
        <v>299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19" t="s">
        <v>273</v>
      </c>
      <c r="E69" s="117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323</v>
      </c>
      <c r="O69" s="3">
        <f>5+10+5+5+10+5</f>
        <v>40</v>
      </c>
      <c r="P69" s="9">
        <f t="shared" si="8"/>
        <v>0</v>
      </c>
      <c r="Q69" s="23" t="s">
        <v>324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19" t="s">
        <v>274</v>
      </c>
      <c r="E70" s="117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17" t="s">
        <v>235</v>
      </c>
      <c r="E71" s="117" t="s">
        <v>36</v>
      </c>
      <c r="F71" s="59" t="s">
        <v>236</v>
      </c>
      <c r="G71" s="59" t="s">
        <v>236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275</v>
      </c>
      <c r="E72" s="117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19" t="s">
        <v>276</v>
      </c>
      <c r="E73" s="117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19" t="s">
        <v>276</v>
      </c>
      <c r="E74" s="117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19" t="s">
        <v>276</v>
      </c>
      <c r="E75" s="117" t="s">
        <v>10</v>
      </c>
      <c r="F75" s="59" t="s">
        <v>230</v>
      </c>
      <c r="G75" s="59" t="s">
        <v>234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19" t="s">
        <v>276</v>
      </c>
      <c r="E76" s="117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19" t="s">
        <v>276</v>
      </c>
      <c r="E77" s="117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19" t="s">
        <v>276</v>
      </c>
      <c r="E78" s="117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19" t="s">
        <v>276</v>
      </c>
      <c r="E79" s="117" t="s">
        <v>10</v>
      </c>
      <c r="F79" s="59" t="s">
        <v>658</v>
      </c>
      <c r="G79" s="59" t="s">
        <v>658</v>
      </c>
      <c r="H79" s="57" t="s">
        <v>47</v>
      </c>
      <c r="I79" s="17">
        <v>1</v>
      </c>
      <c r="J79" s="4" t="s">
        <v>215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19" t="s">
        <v>278</v>
      </c>
      <c r="E80" s="117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413</v>
      </c>
      <c r="O80" s="3">
        <f>8+5+1+1+5+1+5+1+5</f>
        <v>32</v>
      </c>
      <c r="P80" s="9">
        <f>I80-O80</f>
        <v>0</v>
      </c>
      <c r="Q80" s="23" t="s">
        <v>410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19" t="s">
        <v>277</v>
      </c>
      <c r="E81" s="117" t="s">
        <v>10</v>
      </c>
      <c r="F81" s="59" t="s">
        <v>237</v>
      </c>
      <c r="G81" s="65" t="s">
        <v>239</v>
      </c>
      <c r="H81" s="57" t="s">
        <v>51</v>
      </c>
      <c r="I81" s="17">
        <v>16</v>
      </c>
      <c r="J81" s="21" t="s">
        <v>241</v>
      </c>
      <c r="K81" s="12">
        <v>120</v>
      </c>
      <c r="L81" s="84">
        <v>120</v>
      </c>
      <c r="M81" s="11">
        <f t="shared" si="7"/>
        <v>226862.5</v>
      </c>
      <c r="N81" s="43" t="s">
        <v>481</v>
      </c>
      <c r="O81" s="3">
        <f>6+5</f>
        <v>11</v>
      </c>
      <c r="P81" s="9">
        <f t="shared" si="12"/>
        <v>5</v>
      </c>
      <c r="Q81" s="23" t="s">
        <v>482</v>
      </c>
      <c r="R81" s="23" t="s">
        <v>240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19" t="s">
        <v>277</v>
      </c>
      <c r="E82" s="117" t="s">
        <v>10</v>
      </c>
      <c r="F82" s="59" t="s">
        <v>238</v>
      </c>
      <c r="G82" s="65" t="s">
        <v>238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242</v>
      </c>
      <c r="O82" s="3">
        <v>1</v>
      </c>
      <c r="P82" s="9">
        <f t="shared" si="12"/>
        <v>0</v>
      </c>
      <c r="Q82" s="3" t="s">
        <v>243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19" t="s">
        <v>279</v>
      </c>
      <c r="E83" s="117" t="s">
        <v>10</v>
      </c>
      <c r="F83" s="59" t="s">
        <v>245</v>
      </c>
      <c r="G83" s="60" t="s">
        <v>245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696</v>
      </c>
      <c r="O83" s="3">
        <f>2+2+4+2+1+1</f>
        <v>12</v>
      </c>
      <c r="P83" s="9">
        <f t="shared" si="12"/>
        <v>0</v>
      </c>
      <c r="Q83" s="23" t="s">
        <v>697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17" t="s">
        <v>279</v>
      </c>
      <c r="E84" s="117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248</v>
      </c>
      <c r="O84" s="3">
        <v>1</v>
      </c>
      <c r="P84" s="69">
        <f t="shared" si="12"/>
        <v>0</v>
      </c>
      <c r="Q84" s="3" t="s">
        <v>243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19" t="s">
        <v>280</v>
      </c>
      <c r="E85" s="117" t="s">
        <v>10</v>
      </c>
      <c r="F85" s="59" t="s">
        <v>230</v>
      </c>
      <c r="G85" s="59" t="s">
        <v>234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258</v>
      </c>
      <c r="O85" s="3">
        <v>1</v>
      </c>
      <c r="P85" s="69">
        <f t="shared" si="12"/>
        <v>0</v>
      </c>
      <c r="Q85" s="3" t="s">
        <v>259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19" t="s">
        <v>288</v>
      </c>
      <c r="E86" s="117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392</v>
      </c>
      <c r="O86" s="3">
        <f>5+10+10+5+1+9</f>
        <v>40</v>
      </c>
      <c r="P86" s="69">
        <f t="shared" si="12"/>
        <v>0</v>
      </c>
      <c r="Q86" s="23" t="s">
        <v>393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17" t="s">
        <v>288</v>
      </c>
      <c r="E87" s="117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371</v>
      </c>
      <c r="O87" s="3">
        <f>3+1+1</f>
        <v>5</v>
      </c>
      <c r="P87" s="69">
        <f t="shared" si="12"/>
        <v>0</v>
      </c>
      <c r="Q87" s="23" t="s">
        <v>372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17" t="s">
        <v>288</v>
      </c>
      <c r="E88" s="117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290</v>
      </c>
      <c r="O88" s="3">
        <f>4+1</f>
        <v>5</v>
      </c>
      <c r="P88" s="69">
        <f t="shared" si="12"/>
        <v>0</v>
      </c>
      <c r="Q88" s="3" t="s">
        <v>287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17" t="s">
        <v>288</v>
      </c>
      <c r="E89" s="117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380</v>
      </c>
      <c r="O89" s="3">
        <f>2+1+1+1+4+1+1+4+4+1</f>
        <v>20</v>
      </c>
      <c r="P89" s="69">
        <f t="shared" si="12"/>
        <v>0</v>
      </c>
      <c r="Q89" s="23" t="s">
        <v>381</v>
      </c>
      <c r="R89" s="23" t="s">
        <v>283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17" t="s">
        <v>288</v>
      </c>
      <c r="E90" s="117" t="s">
        <v>10</v>
      </c>
      <c r="F90" s="59" t="s">
        <v>405</v>
      </c>
      <c r="G90" s="59" t="s">
        <v>405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286</v>
      </c>
      <c r="O90" s="3">
        <v>1</v>
      </c>
      <c r="P90" s="69">
        <f t="shared" si="12"/>
        <v>0</v>
      </c>
      <c r="Q90" s="23" t="s">
        <v>284</v>
      </c>
      <c r="R90" s="23" t="s">
        <v>285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19" t="s">
        <v>289</v>
      </c>
      <c r="E91" s="117" t="s">
        <v>10</v>
      </c>
      <c r="F91" s="45" t="s">
        <v>193</v>
      </c>
      <c r="G91" s="128" t="s">
        <v>457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483</v>
      </c>
      <c r="O91" s="3">
        <f>4+5+10+1</f>
        <v>20</v>
      </c>
      <c r="P91" s="69">
        <f t="shared" si="12"/>
        <v>0</v>
      </c>
      <c r="Q91" s="129" t="s">
        <v>484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17" t="s">
        <v>289</v>
      </c>
      <c r="E92" s="117" t="s">
        <v>10</v>
      </c>
      <c r="F92" s="53" t="s">
        <v>254</v>
      </c>
      <c r="G92" s="70" t="s">
        <v>254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257</v>
      </c>
      <c r="R92" s="23"/>
    </row>
    <row r="93" spans="1:18" customFormat="1" ht="43.5" x14ac:dyDescent="0.35">
      <c r="A93" s="41">
        <v>44231</v>
      </c>
      <c r="B93" s="73">
        <f t="shared" si="15"/>
        <v>2</v>
      </c>
      <c r="C93" s="75">
        <f t="shared" si="11"/>
        <v>2021</v>
      </c>
      <c r="D93" s="117" t="s">
        <v>289</v>
      </c>
      <c r="E93" s="117" t="s">
        <v>10</v>
      </c>
      <c r="F93" s="59" t="s">
        <v>245</v>
      </c>
      <c r="G93" s="59" t="s">
        <v>245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22" t="s">
        <v>789</v>
      </c>
      <c r="O93" s="3">
        <f>2+2+2+2+2</f>
        <v>10</v>
      </c>
      <c r="P93" s="69">
        <f t="shared" si="12"/>
        <v>2</v>
      </c>
      <c r="Q93" s="23" t="s">
        <v>790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19" t="s">
        <v>281</v>
      </c>
      <c r="E94" s="117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258</v>
      </c>
      <c r="O94" s="3">
        <v>1</v>
      </c>
      <c r="P94" s="69">
        <f t="shared" si="12"/>
        <v>0</v>
      </c>
      <c r="Q94" s="3" t="s">
        <v>259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17"/>
      <c r="E95" s="117" t="s">
        <v>158</v>
      </c>
      <c r="F95" s="59" t="s">
        <v>270</v>
      </c>
      <c r="G95" s="59" t="s">
        <v>270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271</v>
      </c>
      <c r="O95" s="3">
        <v>3</v>
      </c>
      <c r="P95" s="69">
        <f t="shared" si="12"/>
        <v>0</v>
      </c>
      <c r="Q95" s="3" t="s">
        <v>272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19" t="s">
        <v>282</v>
      </c>
      <c r="E96" s="117" t="s">
        <v>10</v>
      </c>
      <c r="F96" s="59" t="s">
        <v>658</v>
      </c>
      <c r="G96" s="59" t="s">
        <v>658</v>
      </c>
      <c r="H96" s="23" t="s">
        <v>51</v>
      </c>
      <c r="I96" s="17">
        <v>1</v>
      </c>
      <c r="J96" s="4" t="s">
        <v>215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263</v>
      </c>
      <c r="O96" s="3">
        <v>1</v>
      </c>
      <c r="P96" s="69">
        <f t="shared" si="12"/>
        <v>0</v>
      </c>
      <c r="Q96" s="3" t="s">
        <v>266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19" t="s">
        <v>308</v>
      </c>
      <c r="E97" s="116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302</v>
      </c>
      <c r="O97" s="3">
        <f>6+2+2</f>
        <v>10</v>
      </c>
      <c r="P97" s="69">
        <f t="shared" si="12"/>
        <v>0</v>
      </c>
      <c r="Q97" s="23" t="s">
        <v>303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17" t="s">
        <v>308</v>
      </c>
      <c r="E98" s="113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319</v>
      </c>
      <c r="O98" s="3">
        <v>11</v>
      </c>
      <c r="P98" s="69">
        <f t="shared" si="12"/>
        <v>0</v>
      </c>
      <c r="Q98" s="82" t="s">
        <v>320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19" t="s">
        <v>309</v>
      </c>
      <c r="E99" s="116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321</v>
      </c>
      <c r="O99" s="3">
        <f>5+5</f>
        <v>10</v>
      </c>
      <c r="P99" s="69">
        <f t="shared" si="12"/>
        <v>0</v>
      </c>
      <c r="Q99" s="23" t="s">
        <v>322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17">
        <v>18634</v>
      </c>
      <c r="E100" s="116" t="s">
        <v>310</v>
      </c>
      <c r="F100" s="59" t="s">
        <v>318</v>
      </c>
      <c r="G100" s="59" t="s">
        <v>318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28" t="s">
        <v>632</v>
      </c>
      <c r="O100" s="3">
        <f>4+1+4+4</f>
        <v>13</v>
      </c>
      <c r="P100" s="69">
        <f t="shared" si="12"/>
        <v>7</v>
      </c>
      <c r="Q100" s="23" t="s">
        <v>633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19" t="s">
        <v>311</v>
      </c>
      <c r="E101" s="116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390</v>
      </c>
      <c r="O101" s="3">
        <f>1+1+3</f>
        <v>5</v>
      </c>
      <c r="P101" s="69">
        <f t="shared" si="12"/>
        <v>0</v>
      </c>
      <c r="Q101" s="23" t="s">
        <v>391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17">
        <v>18674</v>
      </c>
      <c r="E102" s="116" t="s">
        <v>310</v>
      </c>
      <c r="F102" s="59" t="s">
        <v>313</v>
      </c>
      <c r="G102" s="59" t="s">
        <v>313</v>
      </c>
      <c r="H102" s="57" t="s">
        <v>51</v>
      </c>
      <c r="I102" s="17">
        <v>2</v>
      </c>
      <c r="J102" s="31" t="s">
        <v>315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833</v>
      </c>
      <c r="O102" s="3">
        <f>1+1</f>
        <v>2</v>
      </c>
      <c r="P102" s="69">
        <f t="shared" si="12"/>
        <v>0</v>
      </c>
      <c r="Q102" s="23" t="s">
        <v>834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17">
        <v>18674</v>
      </c>
      <c r="E103" s="116" t="s">
        <v>310</v>
      </c>
      <c r="F103" s="59" t="s">
        <v>314</v>
      </c>
      <c r="G103" s="59" t="s">
        <v>314</v>
      </c>
      <c r="H103" s="57" t="s">
        <v>51</v>
      </c>
      <c r="I103" s="17">
        <v>2</v>
      </c>
      <c r="J103" s="31" t="s">
        <v>315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379</v>
      </c>
      <c r="O103" s="3">
        <v>2</v>
      </c>
      <c r="P103" s="69">
        <f t="shared" si="12"/>
        <v>0</v>
      </c>
      <c r="Q103" s="23" t="s">
        <v>316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19" t="s">
        <v>312</v>
      </c>
      <c r="E104" s="116" t="s">
        <v>307</v>
      </c>
      <c r="F104" s="59" t="s">
        <v>645</v>
      </c>
      <c r="G104" s="59" t="s">
        <v>645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496</v>
      </c>
      <c r="O104" s="3">
        <f>1+2+1</f>
        <v>4</v>
      </c>
      <c r="P104" s="69">
        <f t="shared" si="12"/>
        <v>0</v>
      </c>
      <c r="Q104" s="23" t="s">
        <v>495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19" t="s">
        <v>327</v>
      </c>
      <c r="E105" s="116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545</v>
      </c>
      <c r="O105" s="3">
        <v>2</v>
      </c>
      <c r="P105" s="69">
        <f t="shared" si="12"/>
        <v>0</v>
      </c>
      <c r="Q105" s="23" t="s">
        <v>544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0" t="s">
        <v>328</v>
      </c>
      <c r="E106" s="116" t="s">
        <v>10</v>
      </c>
      <c r="F106" s="102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382</v>
      </c>
      <c r="O106" s="3">
        <f>5+1+2+4+4</f>
        <v>16</v>
      </c>
      <c r="P106" s="69">
        <f t="shared" si="12"/>
        <v>0</v>
      </c>
      <c r="Q106" s="23" t="s">
        <v>394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19" t="s">
        <v>328</v>
      </c>
      <c r="E107" s="116" t="s">
        <v>10</v>
      </c>
      <c r="F107" s="59" t="s">
        <v>405</v>
      </c>
      <c r="G107" s="59" t="s">
        <v>405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417</v>
      </c>
      <c r="O107" s="3">
        <f>4+3+1</f>
        <v>8</v>
      </c>
      <c r="P107" s="69">
        <f t="shared" si="12"/>
        <v>0</v>
      </c>
      <c r="Q107" s="23" t="s">
        <v>416</v>
      </c>
      <c r="R107" s="23"/>
    </row>
    <row r="108" spans="1:20" s="81" customFormat="1" ht="58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0" t="s">
        <v>330</v>
      </c>
      <c r="E108" s="116" t="s">
        <v>10</v>
      </c>
      <c r="F108" s="102" t="s">
        <v>146</v>
      </c>
      <c r="G108" s="60" t="s">
        <v>180</v>
      </c>
      <c r="H108" s="88" t="s">
        <v>47</v>
      </c>
      <c r="I108" s="89">
        <v>16</v>
      </c>
      <c r="J108" s="88" t="s">
        <v>1</v>
      </c>
      <c r="K108" s="103">
        <v>394.2</v>
      </c>
      <c r="L108" s="90">
        <f t="shared" si="20"/>
        <v>6307.2</v>
      </c>
      <c r="M108" s="7">
        <f t="shared" si="14"/>
        <v>291285.7</v>
      </c>
      <c r="N108" s="108" t="s">
        <v>601</v>
      </c>
      <c r="O108" s="88">
        <f>1+4+4+4+1+1+1</f>
        <v>16</v>
      </c>
      <c r="P108" s="69">
        <f t="shared" si="12"/>
        <v>0</v>
      </c>
      <c r="Q108" s="92" t="s">
        <v>602</v>
      </c>
      <c r="R108" s="92"/>
      <c r="S108" s="93"/>
      <c r="T108" s="93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19" t="s">
        <v>329</v>
      </c>
      <c r="E109" s="116" t="s">
        <v>10</v>
      </c>
      <c r="F109" s="45" t="s">
        <v>455</v>
      </c>
      <c r="G109" s="47" t="s">
        <v>456</v>
      </c>
      <c r="H109" s="88" t="s">
        <v>47</v>
      </c>
      <c r="I109" s="89">
        <v>5</v>
      </c>
      <c r="J109" s="88" t="s">
        <v>1</v>
      </c>
      <c r="K109" s="88">
        <v>219</v>
      </c>
      <c r="L109" s="90">
        <f t="shared" si="20"/>
        <v>1095</v>
      </c>
      <c r="M109" s="7">
        <f t="shared" si="14"/>
        <v>292380.7</v>
      </c>
      <c r="N109" s="108" t="s">
        <v>485</v>
      </c>
      <c r="O109" s="88">
        <f>2+2+1</f>
        <v>5</v>
      </c>
      <c r="P109" s="91">
        <f t="shared" si="12"/>
        <v>0</v>
      </c>
      <c r="Q109" s="92" t="s">
        <v>486</v>
      </c>
      <c r="R109" s="92"/>
      <c r="S109" s="93"/>
      <c r="T109" s="93"/>
    </row>
    <row r="110" spans="1:20" ht="29" x14ac:dyDescent="0.35">
      <c r="A110" s="94">
        <v>44285</v>
      </c>
      <c r="B110" s="95">
        <f>MONTH(A110)</f>
        <v>3</v>
      </c>
      <c r="C110" s="96">
        <f t="shared" si="24"/>
        <v>2021</v>
      </c>
      <c r="D110" s="121" t="s">
        <v>331</v>
      </c>
      <c r="E110" s="122" t="s">
        <v>10</v>
      </c>
      <c r="F110" s="97" t="s">
        <v>334</v>
      </c>
      <c r="G110" s="97" t="s">
        <v>334</v>
      </c>
      <c r="H110" s="88" t="s">
        <v>51</v>
      </c>
      <c r="I110" s="89">
        <v>2</v>
      </c>
      <c r="J110" s="88" t="s">
        <v>0</v>
      </c>
      <c r="K110" s="88">
        <v>1620</v>
      </c>
      <c r="L110" s="90">
        <f t="shared" si="20"/>
        <v>3240</v>
      </c>
      <c r="M110" s="7">
        <f t="shared" si="14"/>
        <v>295620.7</v>
      </c>
      <c r="N110" s="101" t="s">
        <v>333</v>
      </c>
      <c r="O110" s="88">
        <v>2</v>
      </c>
      <c r="P110" s="91">
        <f t="shared" si="12"/>
        <v>0</v>
      </c>
      <c r="Q110" s="88" t="s">
        <v>332</v>
      </c>
      <c r="R110" s="92"/>
    </row>
    <row r="111" spans="1:20" x14ac:dyDescent="0.35">
      <c r="A111" s="94">
        <v>44287</v>
      </c>
      <c r="B111" s="95">
        <f>MONTH(A111)</f>
        <v>4</v>
      </c>
      <c r="C111" s="96">
        <f t="shared" si="24"/>
        <v>2021</v>
      </c>
      <c r="D111" s="121" t="s">
        <v>366</v>
      </c>
      <c r="E111" s="122" t="s">
        <v>10</v>
      </c>
      <c r="F111" s="102" t="s">
        <v>29</v>
      </c>
      <c r="G111" s="60" t="s">
        <v>29</v>
      </c>
      <c r="H111" s="88" t="s">
        <v>47</v>
      </c>
      <c r="I111" s="89">
        <v>5</v>
      </c>
      <c r="J111" s="88" t="s">
        <v>0</v>
      </c>
      <c r="K111" s="103">
        <v>1650</v>
      </c>
      <c r="L111" s="90">
        <f t="shared" si="20"/>
        <v>8250</v>
      </c>
      <c r="M111" s="7">
        <f t="shared" si="14"/>
        <v>303870.7</v>
      </c>
      <c r="N111" s="101" t="s">
        <v>337</v>
      </c>
      <c r="O111" s="88">
        <v>5</v>
      </c>
      <c r="P111" s="91">
        <f t="shared" si="12"/>
        <v>0</v>
      </c>
      <c r="Q111" s="88" t="s">
        <v>338</v>
      </c>
      <c r="R111" s="92"/>
    </row>
    <row r="112" spans="1:20" ht="29" x14ac:dyDescent="0.35">
      <c r="A112" s="94">
        <v>44291</v>
      </c>
      <c r="B112" s="95">
        <f t="shared" ref="B112:B116" si="25">MONTH(A112)</f>
        <v>4</v>
      </c>
      <c r="C112" s="96">
        <f t="shared" ref="C112:C116" si="26">YEAR(A112)</f>
        <v>2021</v>
      </c>
      <c r="D112" s="121" t="s">
        <v>367</v>
      </c>
      <c r="E112" s="122" t="s">
        <v>10</v>
      </c>
      <c r="F112" s="102" t="s">
        <v>29</v>
      </c>
      <c r="G112" s="60" t="s">
        <v>29</v>
      </c>
      <c r="H112" s="88" t="s">
        <v>47</v>
      </c>
      <c r="I112" s="89">
        <v>10</v>
      </c>
      <c r="J112" s="88" t="s">
        <v>0</v>
      </c>
      <c r="K112" s="103">
        <v>1650</v>
      </c>
      <c r="L112" s="90">
        <f t="shared" si="20"/>
        <v>16500</v>
      </c>
      <c r="M112" s="7">
        <f t="shared" si="14"/>
        <v>320370.7</v>
      </c>
      <c r="N112" s="108" t="s">
        <v>363</v>
      </c>
      <c r="O112" s="88">
        <f>1+2+5+2</f>
        <v>10</v>
      </c>
      <c r="P112" s="91">
        <f t="shared" si="12"/>
        <v>0</v>
      </c>
      <c r="Q112" s="92" t="s">
        <v>364</v>
      </c>
      <c r="R112" s="92"/>
    </row>
    <row r="113" spans="1:18" ht="29" x14ac:dyDescent="0.35">
      <c r="A113" s="94">
        <v>44291</v>
      </c>
      <c r="B113" s="95">
        <f t="shared" si="25"/>
        <v>4</v>
      </c>
      <c r="C113" s="96">
        <f t="shared" si="26"/>
        <v>2021</v>
      </c>
      <c r="D113" s="121" t="s">
        <v>367</v>
      </c>
      <c r="E113" s="122" t="s">
        <v>10</v>
      </c>
      <c r="F113" s="59" t="s">
        <v>140</v>
      </c>
      <c r="G113" s="60" t="s">
        <v>140</v>
      </c>
      <c r="H113" s="88" t="s">
        <v>47</v>
      </c>
      <c r="I113" s="89">
        <v>2</v>
      </c>
      <c r="J113" s="88" t="s">
        <v>18</v>
      </c>
      <c r="K113" s="88">
        <v>230</v>
      </c>
      <c r="L113" s="90">
        <f t="shared" si="20"/>
        <v>460</v>
      </c>
      <c r="M113" s="7">
        <f t="shared" si="14"/>
        <v>320830.7</v>
      </c>
      <c r="N113" s="105" t="s">
        <v>341</v>
      </c>
      <c r="O113" s="88">
        <v>2</v>
      </c>
      <c r="P113" s="91">
        <f t="shared" si="12"/>
        <v>0</v>
      </c>
      <c r="Q113" s="88" t="s">
        <v>342</v>
      </c>
      <c r="R113" s="92"/>
    </row>
    <row r="114" spans="1:18" ht="29" x14ac:dyDescent="0.35">
      <c r="A114" s="94">
        <v>44292</v>
      </c>
      <c r="B114" s="95">
        <f t="shared" si="25"/>
        <v>4</v>
      </c>
      <c r="C114" s="96">
        <f t="shared" si="26"/>
        <v>2021</v>
      </c>
      <c r="D114" s="123" t="s">
        <v>368</v>
      </c>
      <c r="E114" s="122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88">
        <v>222</v>
      </c>
      <c r="L114" s="90">
        <f t="shared" si="20"/>
        <v>1110</v>
      </c>
      <c r="M114" s="7">
        <f t="shared" si="14"/>
        <v>321940.7</v>
      </c>
      <c r="N114" s="105" t="s">
        <v>478</v>
      </c>
      <c r="O114" s="88">
        <f>1+4</f>
        <v>5</v>
      </c>
      <c r="P114" s="91">
        <f t="shared" si="12"/>
        <v>0</v>
      </c>
      <c r="Q114" s="88" t="s">
        <v>479</v>
      </c>
      <c r="R114" s="92"/>
    </row>
    <row r="115" spans="1:18" ht="29" x14ac:dyDescent="0.35">
      <c r="A115" s="106" t="s">
        <v>349</v>
      </c>
      <c r="B115" s="73">
        <f t="shared" si="25"/>
        <v>4</v>
      </c>
      <c r="C115" s="75">
        <f t="shared" si="26"/>
        <v>2021</v>
      </c>
      <c r="D115" s="123" t="s">
        <v>351</v>
      </c>
      <c r="E115" s="122" t="s">
        <v>339</v>
      </c>
      <c r="F115" s="102" t="s">
        <v>356</v>
      </c>
      <c r="G115" s="59" t="s">
        <v>356</v>
      </c>
      <c r="H115" s="3" t="s">
        <v>51</v>
      </c>
      <c r="I115" s="17">
        <v>6</v>
      </c>
      <c r="J115" s="32" t="s">
        <v>0</v>
      </c>
      <c r="K115" s="12">
        <v>1672</v>
      </c>
      <c r="L115" s="90">
        <f t="shared" si="20"/>
        <v>10032</v>
      </c>
      <c r="M115" s="7">
        <f t="shared" si="14"/>
        <v>331972.7</v>
      </c>
      <c r="N115" s="127" t="s">
        <v>414</v>
      </c>
      <c r="O115" s="88">
        <f>1+3+1+1</f>
        <v>6</v>
      </c>
      <c r="P115" s="91">
        <f t="shared" si="12"/>
        <v>0</v>
      </c>
      <c r="Q115" s="92" t="s">
        <v>406</v>
      </c>
      <c r="R115" s="92"/>
    </row>
    <row r="116" spans="1:18" ht="29" x14ac:dyDescent="0.35">
      <c r="A116" s="106" t="s">
        <v>349</v>
      </c>
      <c r="B116" s="73">
        <f t="shared" si="25"/>
        <v>4</v>
      </c>
      <c r="C116" s="75">
        <f t="shared" si="26"/>
        <v>2021</v>
      </c>
      <c r="D116" s="124" t="s">
        <v>351</v>
      </c>
      <c r="E116" s="122" t="s">
        <v>339</v>
      </c>
      <c r="F116" s="102" t="s">
        <v>357</v>
      </c>
      <c r="G116" s="60" t="s">
        <v>357</v>
      </c>
      <c r="H116" s="55" t="s">
        <v>51</v>
      </c>
      <c r="I116" s="17">
        <v>2</v>
      </c>
      <c r="J116" s="21" t="s">
        <v>0</v>
      </c>
      <c r="K116" s="103">
        <v>1672</v>
      </c>
      <c r="L116" s="90">
        <f t="shared" ref="L116:L132" si="27">SUM(I116*K116)</f>
        <v>3344</v>
      </c>
      <c r="M116" s="7">
        <f t="shared" si="14"/>
        <v>335316.7</v>
      </c>
      <c r="N116" s="101" t="s">
        <v>353</v>
      </c>
      <c r="O116" s="88">
        <f>1+1</f>
        <v>2</v>
      </c>
      <c r="P116" s="91">
        <f t="shared" si="12"/>
        <v>0</v>
      </c>
      <c r="Q116" s="88" t="s">
        <v>354</v>
      </c>
      <c r="R116" s="92"/>
    </row>
    <row r="117" spans="1:18" ht="29" x14ac:dyDescent="0.35">
      <c r="A117" s="94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3" t="s">
        <v>369</v>
      </c>
      <c r="E117" s="122" t="s">
        <v>10</v>
      </c>
      <c r="F117" s="102" t="s">
        <v>233</v>
      </c>
      <c r="G117" s="60" t="s">
        <v>233</v>
      </c>
      <c r="H117" s="55" t="s">
        <v>47</v>
      </c>
      <c r="I117" s="17">
        <v>2</v>
      </c>
      <c r="J117" s="104" t="s">
        <v>217</v>
      </c>
      <c r="K117" s="103">
        <v>290</v>
      </c>
      <c r="L117" s="90">
        <f t="shared" si="27"/>
        <v>580</v>
      </c>
      <c r="M117" s="7">
        <f t="shared" si="14"/>
        <v>335896.7</v>
      </c>
      <c r="N117" s="101" t="s">
        <v>337</v>
      </c>
      <c r="O117" s="88">
        <v>2</v>
      </c>
      <c r="P117" s="91">
        <f t="shared" si="12"/>
        <v>0</v>
      </c>
      <c r="Q117" s="88" t="s">
        <v>343</v>
      </c>
      <c r="R117" s="92" t="s">
        <v>344</v>
      </c>
    </row>
    <row r="118" spans="1:18" x14ac:dyDescent="0.35">
      <c r="A118" s="94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3" t="s">
        <v>370</v>
      </c>
      <c r="E118" s="122" t="s">
        <v>10</v>
      </c>
      <c r="F118" s="102" t="s">
        <v>29</v>
      </c>
      <c r="G118" s="60" t="s">
        <v>29</v>
      </c>
      <c r="H118" s="88" t="s">
        <v>47</v>
      </c>
      <c r="I118" s="89">
        <v>6</v>
      </c>
      <c r="J118" s="88" t="s">
        <v>0</v>
      </c>
      <c r="K118" s="103">
        <v>1650</v>
      </c>
      <c r="L118" s="90">
        <f t="shared" si="27"/>
        <v>9900</v>
      </c>
      <c r="M118" s="7">
        <f t="shared" si="14"/>
        <v>345796.7</v>
      </c>
      <c r="N118" s="105" t="s">
        <v>388</v>
      </c>
      <c r="O118" s="88">
        <f>3+3</f>
        <v>6</v>
      </c>
      <c r="P118" s="91">
        <f t="shared" si="12"/>
        <v>0</v>
      </c>
      <c r="Q118" s="88" t="s">
        <v>387</v>
      </c>
      <c r="R118" s="92"/>
    </row>
    <row r="119" spans="1:18" ht="145" x14ac:dyDescent="0.35">
      <c r="A119" s="94">
        <v>44306</v>
      </c>
      <c r="B119" s="73">
        <f t="shared" si="30"/>
        <v>4</v>
      </c>
      <c r="C119" s="75">
        <f t="shared" si="31"/>
        <v>2021</v>
      </c>
      <c r="D119" s="123" t="s">
        <v>370</v>
      </c>
      <c r="E119" s="117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0">
        <f t="shared" si="27"/>
        <v>2400</v>
      </c>
      <c r="M119" s="7">
        <f t="shared" si="14"/>
        <v>348196.7</v>
      </c>
      <c r="N119" s="108" t="s">
        <v>523</v>
      </c>
      <c r="O119" s="88">
        <f>1+4+10+3+5+6+2+1+7+6+10+6+5+5+5+4</f>
        <v>80</v>
      </c>
      <c r="P119" s="91">
        <f t="shared" si="12"/>
        <v>0</v>
      </c>
      <c r="Q119" s="92" t="s">
        <v>524</v>
      </c>
      <c r="R119" s="92"/>
    </row>
    <row r="120" spans="1:18" x14ac:dyDescent="0.35">
      <c r="A120" s="94" t="s">
        <v>350</v>
      </c>
      <c r="B120" s="73">
        <v>4</v>
      </c>
      <c r="C120" s="75">
        <v>2021</v>
      </c>
      <c r="D120" s="123" t="s">
        <v>352</v>
      </c>
      <c r="E120" s="125" t="s">
        <v>339</v>
      </c>
      <c r="F120" s="102" t="s">
        <v>358</v>
      </c>
      <c r="G120" s="60" t="s">
        <v>358</v>
      </c>
      <c r="H120" s="55" t="s">
        <v>51</v>
      </c>
      <c r="I120" s="17">
        <v>2</v>
      </c>
      <c r="J120" s="21" t="s">
        <v>0</v>
      </c>
      <c r="K120" s="103">
        <v>1628</v>
      </c>
      <c r="L120" s="90">
        <f t="shared" si="27"/>
        <v>3256</v>
      </c>
      <c r="M120" s="7">
        <f t="shared" si="14"/>
        <v>351452.7</v>
      </c>
      <c r="N120" s="101" t="s">
        <v>407</v>
      </c>
      <c r="O120" s="88">
        <f>1+1</f>
        <v>2</v>
      </c>
      <c r="P120" s="91">
        <f t="shared" si="12"/>
        <v>0</v>
      </c>
      <c r="Q120" s="88" t="s">
        <v>408</v>
      </c>
      <c r="R120" s="92"/>
    </row>
    <row r="121" spans="1:18" ht="29" x14ac:dyDescent="0.35">
      <c r="A121" s="94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3" t="s">
        <v>348</v>
      </c>
      <c r="E121" s="125" t="s">
        <v>347</v>
      </c>
      <c r="F121" s="45" t="s">
        <v>359</v>
      </c>
      <c r="G121" s="45" t="s">
        <v>359</v>
      </c>
      <c r="H121" s="55" t="s">
        <v>51</v>
      </c>
      <c r="I121" s="17">
        <v>10</v>
      </c>
      <c r="J121" s="21" t="s">
        <v>1</v>
      </c>
      <c r="K121" s="103">
        <v>405</v>
      </c>
      <c r="L121" s="90">
        <f t="shared" si="27"/>
        <v>4050</v>
      </c>
      <c r="M121" s="7">
        <f t="shared" si="14"/>
        <v>355502.7</v>
      </c>
      <c r="N121" s="127" t="s">
        <v>700</v>
      </c>
      <c r="O121" s="88">
        <f>5+4+1</f>
        <v>10</v>
      </c>
      <c r="P121" s="91">
        <f t="shared" si="12"/>
        <v>0</v>
      </c>
      <c r="Q121" s="92" t="s">
        <v>701</v>
      </c>
      <c r="R121" s="92"/>
    </row>
    <row r="122" spans="1:18" x14ac:dyDescent="0.35">
      <c r="A122" s="94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3">
        <v>13101</v>
      </c>
      <c r="E122" s="125" t="s">
        <v>362</v>
      </c>
      <c r="F122" s="107" t="s">
        <v>677</v>
      </c>
      <c r="G122" s="107" t="s">
        <v>677</v>
      </c>
      <c r="H122" s="55" t="s">
        <v>51</v>
      </c>
      <c r="I122" s="17">
        <v>2</v>
      </c>
      <c r="J122" s="21" t="s">
        <v>18</v>
      </c>
      <c r="K122" s="103">
        <v>320</v>
      </c>
      <c r="L122" s="90">
        <f t="shared" si="27"/>
        <v>640</v>
      </c>
      <c r="M122" s="7">
        <f t="shared" si="14"/>
        <v>356142.7</v>
      </c>
      <c r="N122" s="105" t="s">
        <v>675</v>
      </c>
      <c r="O122" s="88">
        <f>1+1</f>
        <v>2</v>
      </c>
      <c r="P122" s="91">
        <f t="shared" si="12"/>
        <v>0</v>
      </c>
      <c r="Q122" s="92" t="s">
        <v>676</v>
      </c>
      <c r="R122" s="92"/>
    </row>
    <row r="123" spans="1:18" ht="43.5" x14ac:dyDescent="0.35">
      <c r="A123" s="94">
        <v>44319</v>
      </c>
      <c r="B123" s="73">
        <f t="shared" si="34"/>
        <v>5</v>
      </c>
      <c r="C123" s="75">
        <f t="shared" si="35"/>
        <v>2021</v>
      </c>
      <c r="D123" s="123" t="s">
        <v>383</v>
      </c>
      <c r="E123" s="122" t="s">
        <v>10</v>
      </c>
      <c r="F123" s="102" t="s">
        <v>29</v>
      </c>
      <c r="G123" s="60" t="s">
        <v>29</v>
      </c>
      <c r="H123" s="88" t="s">
        <v>47</v>
      </c>
      <c r="I123" s="89">
        <v>20</v>
      </c>
      <c r="J123" s="88" t="s">
        <v>0</v>
      </c>
      <c r="K123" s="103">
        <v>1650</v>
      </c>
      <c r="L123" s="90">
        <f t="shared" si="27"/>
        <v>33000</v>
      </c>
      <c r="M123" s="7">
        <f t="shared" si="14"/>
        <v>389142.7</v>
      </c>
      <c r="N123" s="127" t="s">
        <v>420</v>
      </c>
      <c r="O123" s="88">
        <f>1+6+5+2+6</f>
        <v>20</v>
      </c>
      <c r="P123" s="91">
        <f t="shared" si="12"/>
        <v>0</v>
      </c>
      <c r="Q123" s="92" t="s">
        <v>421</v>
      </c>
      <c r="R123" s="92"/>
    </row>
    <row r="124" spans="1:18" ht="43.5" x14ac:dyDescent="0.35">
      <c r="A124" s="94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3" t="s">
        <v>383</v>
      </c>
      <c r="E124" s="122" t="s">
        <v>10</v>
      </c>
      <c r="F124" s="102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3">
        <v>80</v>
      </c>
      <c r="L124" s="90">
        <f t="shared" si="27"/>
        <v>960</v>
      </c>
      <c r="M124" s="7">
        <f t="shared" si="14"/>
        <v>390102.7</v>
      </c>
      <c r="N124" s="127" t="s">
        <v>415</v>
      </c>
      <c r="O124" s="88">
        <f>1+1+4+1+5</f>
        <v>12</v>
      </c>
      <c r="P124" s="91">
        <f t="shared" si="12"/>
        <v>0</v>
      </c>
      <c r="Q124" s="92" t="s">
        <v>409</v>
      </c>
      <c r="R124" s="92"/>
    </row>
    <row r="125" spans="1:18" ht="29" x14ac:dyDescent="0.35">
      <c r="A125" s="94">
        <v>44319</v>
      </c>
      <c r="B125" s="73">
        <f t="shared" si="36"/>
        <v>5</v>
      </c>
      <c r="C125" s="75">
        <f t="shared" si="37"/>
        <v>2021</v>
      </c>
      <c r="D125" s="123" t="s">
        <v>383</v>
      </c>
      <c r="E125" s="122" t="s">
        <v>10</v>
      </c>
      <c r="F125" s="102" t="s">
        <v>233</v>
      </c>
      <c r="G125" s="60" t="s">
        <v>233</v>
      </c>
      <c r="H125" s="55" t="s">
        <v>47</v>
      </c>
      <c r="I125" s="17">
        <v>2</v>
      </c>
      <c r="J125" s="104" t="s">
        <v>217</v>
      </c>
      <c r="K125" s="103">
        <v>290</v>
      </c>
      <c r="L125" s="90">
        <f t="shared" si="27"/>
        <v>580</v>
      </c>
      <c r="M125" s="7">
        <f t="shared" si="14"/>
        <v>390682.7</v>
      </c>
      <c r="N125" s="105" t="s">
        <v>411</v>
      </c>
      <c r="O125" s="88">
        <f>1+1</f>
        <v>2</v>
      </c>
      <c r="P125" s="91">
        <f t="shared" si="12"/>
        <v>0</v>
      </c>
      <c r="Q125" s="92" t="s">
        <v>412</v>
      </c>
      <c r="R125" s="92"/>
    </row>
    <row r="126" spans="1:18" x14ac:dyDescent="0.35">
      <c r="A126" s="94">
        <v>44319</v>
      </c>
      <c r="B126" s="73">
        <f t="shared" si="36"/>
        <v>5</v>
      </c>
      <c r="C126" s="75">
        <f t="shared" si="37"/>
        <v>2021</v>
      </c>
      <c r="D126" s="123"/>
      <c r="E126" s="126" t="s">
        <v>158</v>
      </c>
      <c r="F126" s="88" t="s">
        <v>365</v>
      </c>
      <c r="G126" s="88" t="s">
        <v>365</v>
      </c>
      <c r="H126" s="88" t="s">
        <v>51</v>
      </c>
      <c r="I126" s="89">
        <v>1</v>
      </c>
      <c r="J126" s="88" t="s">
        <v>138</v>
      </c>
      <c r="K126" s="103">
        <v>28.8</v>
      </c>
      <c r="L126" s="90">
        <f t="shared" si="27"/>
        <v>28.8</v>
      </c>
      <c r="M126" s="7">
        <f t="shared" si="14"/>
        <v>390711.5</v>
      </c>
      <c r="N126" s="105" t="s">
        <v>379</v>
      </c>
      <c r="O126" s="88">
        <v>1</v>
      </c>
      <c r="P126" s="91">
        <f t="shared" si="12"/>
        <v>0</v>
      </c>
      <c r="Q126" s="92" t="s">
        <v>317</v>
      </c>
      <c r="R126" s="92"/>
    </row>
    <row r="127" spans="1:18" x14ac:dyDescent="0.35">
      <c r="A127" s="94">
        <v>44319</v>
      </c>
      <c r="B127" s="73">
        <f t="shared" si="36"/>
        <v>5</v>
      </c>
      <c r="C127" s="75">
        <f t="shared" si="37"/>
        <v>2021</v>
      </c>
      <c r="D127" s="123"/>
      <c r="E127" s="126" t="s">
        <v>158</v>
      </c>
      <c r="F127" s="109" t="s">
        <v>373</v>
      </c>
      <c r="G127" s="109" t="s">
        <v>373</v>
      </c>
      <c r="H127" s="111" t="s">
        <v>51</v>
      </c>
      <c r="I127" s="89">
        <v>1</v>
      </c>
      <c r="J127" s="110" t="s">
        <v>125</v>
      </c>
      <c r="K127" s="103">
        <v>38</v>
      </c>
      <c r="L127" s="90">
        <f t="shared" si="27"/>
        <v>38</v>
      </c>
      <c r="M127" s="7">
        <f t="shared" si="14"/>
        <v>390749.5</v>
      </c>
      <c r="N127" s="105" t="s">
        <v>222</v>
      </c>
      <c r="O127" s="88">
        <v>1</v>
      </c>
      <c r="P127" s="91">
        <f t="shared" si="12"/>
        <v>0</v>
      </c>
      <c r="Q127" s="108" t="s">
        <v>374</v>
      </c>
      <c r="R127" s="92"/>
    </row>
    <row r="128" spans="1:18" ht="29" x14ac:dyDescent="0.35">
      <c r="A128" s="94">
        <v>44326</v>
      </c>
      <c r="B128" s="73">
        <f t="shared" si="36"/>
        <v>5</v>
      </c>
      <c r="C128" s="75">
        <f t="shared" si="37"/>
        <v>2021</v>
      </c>
      <c r="D128" s="123" t="s">
        <v>384</v>
      </c>
      <c r="E128" s="116" t="s">
        <v>10</v>
      </c>
      <c r="F128" s="45" t="s">
        <v>376</v>
      </c>
      <c r="G128" s="47" t="s">
        <v>375</v>
      </c>
      <c r="H128" s="88" t="s">
        <v>47</v>
      </c>
      <c r="I128" s="89">
        <v>16</v>
      </c>
      <c r="J128" s="88" t="s">
        <v>1</v>
      </c>
      <c r="K128" s="103">
        <v>284.89999999999998</v>
      </c>
      <c r="L128" s="90">
        <f t="shared" si="27"/>
        <v>4558.3999999999996</v>
      </c>
      <c r="M128" s="7">
        <f t="shared" si="14"/>
        <v>395307.9</v>
      </c>
      <c r="N128" s="127" t="s">
        <v>467</v>
      </c>
      <c r="O128" s="88">
        <f>4+6+6</f>
        <v>16</v>
      </c>
      <c r="P128" s="91">
        <f t="shared" si="12"/>
        <v>0</v>
      </c>
      <c r="Q128" s="92" t="s">
        <v>468</v>
      </c>
      <c r="R128" s="92"/>
    </row>
    <row r="129" spans="1:18" ht="29" x14ac:dyDescent="0.35">
      <c r="A129" s="94">
        <v>44326</v>
      </c>
      <c r="B129" s="73">
        <f t="shared" si="36"/>
        <v>5</v>
      </c>
      <c r="C129" s="75">
        <f t="shared" si="37"/>
        <v>2021</v>
      </c>
      <c r="D129" s="123" t="s">
        <v>384</v>
      </c>
      <c r="E129" s="116" t="s">
        <v>10</v>
      </c>
      <c r="F129" s="45" t="s">
        <v>377</v>
      </c>
      <c r="G129" s="47" t="s">
        <v>378</v>
      </c>
      <c r="H129" s="88" t="s">
        <v>47</v>
      </c>
      <c r="I129" s="89">
        <v>16</v>
      </c>
      <c r="J129" s="110" t="s">
        <v>1</v>
      </c>
      <c r="K129" s="103">
        <v>462</v>
      </c>
      <c r="L129" s="90">
        <f t="shared" si="27"/>
        <v>7392</v>
      </c>
      <c r="M129" s="7">
        <f t="shared" si="14"/>
        <v>402699.9</v>
      </c>
      <c r="N129" s="127" t="s">
        <v>580</v>
      </c>
      <c r="O129" s="88">
        <f>3+4+4+5</f>
        <v>16</v>
      </c>
      <c r="P129" s="91">
        <f t="shared" si="12"/>
        <v>0</v>
      </c>
      <c r="Q129" s="92" t="s">
        <v>581</v>
      </c>
      <c r="R129" s="92"/>
    </row>
    <row r="130" spans="1:18" ht="43.5" x14ac:dyDescent="0.35">
      <c r="A130" s="94">
        <v>44334</v>
      </c>
      <c r="B130" s="73">
        <f t="shared" si="36"/>
        <v>5</v>
      </c>
      <c r="C130" s="75">
        <f t="shared" si="37"/>
        <v>2021</v>
      </c>
      <c r="D130" s="123" t="s">
        <v>385</v>
      </c>
      <c r="E130" s="117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3">
        <v>1727</v>
      </c>
      <c r="L130" s="90">
        <f t="shared" si="27"/>
        <v>17270</v>
      </c>
      <c r="M130" s="7">
        <f t="shared" si="14"/>
        <v>419969.9</v>
      </c>
      <c r="N130" s="127" t="s">
        <v>419</v>
      </c>
      <c r="O130" s="88">
        <f>1+3+4+1+1</f>
        <v>10</v>
      </c>
      <c r="P130" s="91">
        <f t="shared" si="12"/>
        <v>0</v>
      </c>
      <c r="Q130" s="92" t="s">
        <v>418</v>
      </c>
      <c r="R130" s="92"/>
    </row>
    <row r="131" spans="1:18" ht="29" x14ac:dyDescent="0.35">
      <c r="A131" s="94">
        <v>44334</v>
      </c>
      <c r="B131" s="73">
        <f t="shared" si="36"/>
        <v>5</v>
      </c>
      <c r="C131" s="75">
        <f t="shared" si="37"/>
        <v>2021</v>
      </c>
      <c r="D131" s="123" t="s">
        <v>385</v>
      </c>
      <c r="E131" s="117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3">
        <v>1650</v>
      </c>
      <c r="L131" s="90">
        <f t="shared" si="27"/>
        <v>6600</v>
      </c>
      <c r="M131" s="7">
        <f t="shared" si="14"/>
        <v>426569.9</v>
      </c>
      <c r="N131" s="127" t="s">
        <v>464</v>
      </c>
      <c r="O131" s="88">
        <f>1+1+2</f>
        <v>4</v>
      </c>
      <c r="P131" s="91">
        <f t="shared" si="12"/>
        <v>0</v>
      </c>
      <c r="Q131" s="92" t="s">
        <v>466</v>
      </c>
      <c r="R131" s="92" t="s">
        <v>463</v>
      </c>
    </row>
    <row r="132" spans="1:18" ht="29" x14ac:dyDescent="0.35">
      <c r="A132" s="94">
        <v>44334</v>
      </c>
      <c r="B132" s="73">
        <f t="shared" si="36"/>
        <v>5</v>
      </c>
      <c r="C132" s="75">
        <f t="shared" si="37"/>
        <v>2021</v>
      </c>
      <c r="D132" s="123" t="s">
        <v>386</v>
      </c>
      <c r="E132" s="122" t="s">
        <v>339</v>
      </c>
      <c r="F132" s="102" t="s">
        <v>356</v>
      </c>
      <c r="G132" s="59" t="s">
        <v>356</v>
      </c>
      <c r="H132" s="3" t="s">
        <v>51</v>
      </c>
      <c r="I132" s="89">
        <v>3</v>
      </c>
      <c r="J132" s="32" t="s">
        <v>0</v>
      </c>
      <c r="K132" s="103">
        <v>1683</v>
      </c>
      <c r="L132" s="90">
        <f t="shared" si="27"/>
        <v>5049</v>
      </c>
      <c r="M132" s="7">
        <f t="shared" si="14"/>
        <v>431618.9</v>
      </c>
      <c r="N132" s="105" t="s">
        <v>476</v>
      </c>
      <c r="O132" s="88">
        <f>1+1+1</f>
        <v>3</v>
      </c>
      <c r="P132" s="91">
        <f t="shared" si="12"/>
        <v>0</v>
      </c>
      <c r="Q132" s="92" t="s">
        <v>477</v>
      </c>
      <c r="R132" s="92"/>
    </row>
    <row r="133" spans="1:18" ht="43.5" x14ac:dyDescent="0.35">
      <c r="A133" s="94">
        <v>44468</v>
      </c>
      <c r="B133" s="73">
        <f t="shared" si="36"/>
        <v>9</v>
      </c>
      <c r="C133" s="75">
        <f t="shared" si="37"/>
        <v>2021</v>
      </c>
      <c r="D133" s="135" t="s">
        <v>526</v>
      </c>
      <c r="E133" s="116" t="s">
        <v>10</v>
      </c>
      <c r="F133" s="107" t="s">
        <v>29</v>
      </c>
      <c r="G133" s="47" t="s">
        <v>29</v>
      </c>
      <c r="H133" s="111" t="s">
        <v>47</v>
      </c>
      <c r="I133" s="89">
        <v>12</v>
      </c>
      <c r="J133" s="110" t="s">
        <v>0</v>
      </c>
      <c r="K133" s="103">
        <v>1617</v>
      </c>
      <c r="L133" s="90">
        <f>SUM(I133*K133)</f>
        <v>19404</v>
      </c>
      <c r="M133" s="7">
        <f t="shared" si="14"/>
        <v>451022.9</v>
      </c>
      <c r="N133" s="127" t="s">
        <v>487</v>
      </c>
      <c r="O133" s="88">
        <f>2+2+3+2+3</f>
        <v>12</v>
      </c>
      <c r="P133" s="91">
        <f t="shared" si="12"/>
        <v>0</v>
      </c>
      <c r="Q133" s="134" t="s">
        <v>488</v>
      </c>
      <c r="R133" s="92" t="s">
        <v>465</v>
      </c>
    </row>
    <row r="134" spans="1:18" ht="43.5" x14ac:dyDescent="0.35">
      <c r="A134" s="94">
        <v>44468</v>
      </c>
      <c r="B134" s="73">
        <f t="shared" si="36"/>
        <v>9</v>
      </c>
      <c r="C134" s="75">
        <f t="shared" si="37"/>
        <v>2021</v>
      </c>
      <c r="D134" s="136" t="s">
        <v>527</v>
      </c>
      <c r="E134" s="116" t="s">
        <v>10</v>
      </c>
      <c r="F134" s="107" t="s">
        <v>376</v>
      </c>
      <c r="G134" s="47" t="s">
        <v>375</v>
      </c>
      <c r="H134" s="111" t="s">
        <v>47</v>
      </c>
      <c r="I134" s="89">
        <v>32</v>
      </c>
      <c r="J134" s="110" t="s">
        <v>1</v>
      </c>
      <c r="K134" s="103">
        <v>281.2</v>
      </c>
      <c r="L134" s="90">
        <f t="shared" ref="L134:L172" si="38">SUM(I134*K134)</f>
        <v>8998.4</v>
      </c>
      <c r="M134" s="7">
        <f t="shared" si="14"/>
        <v>460021.30000000005</v>
      </c>
      <c r="N134" s="127" t="s">
        <v>492</v>
      </c>
      <c r="O134" s="88">
        <f>6+8+14+4</f>
        <v>32</v>
      </c>
      <c r="P134" s="91">
        <f t="shared" si="12"/>
        <v>0</v>
      </c>
      <c r="Q134" s="92" t="s">
        <v>493</v>
      </c>
      <c r="R134" s="92"/>
    </row>
    <row r="135" spans="1:18" ht="29" x14ac:dyDescent="0.35">
      <c r="A135" s="94">
        <v>44468</v>
      </c>
      <c r="B135" s="73">
        <f t="shared" si="36"/>
        <v>9</v>
      </c>
      <c r="C135" s="75">
        <f t="shared" si="37"/>
        <v>2021</v>
      </c>
      <c r="D135" s="136" t="s">
        <v>527</v>
      </c>
      <c r="E135" s="116" t="s">
        <v>10</v>
      </c>
      <c r="F135" s="107" t="s">
        <v>233</v>
      </c>
      <c r="G135" s="47" t="s">
        <v>233</v>
      </c>
      <c r="H135" s="111" t="s">
        <v>47</v>
      </c>
      <c r="I135" s="89">
        <v>2</v>
      </c>
      <c r="J135" s="110" t="s">
        <v>217</v>
      </c>
      <c r="K135" s="103">
        <v>290</v>
      </c>
      <c r="L135" s="90">
        <f t="shared" si="38"/>
        <v>580</v>
      </c>
      <c r="M135" s="7">
        <f t="shared" si="14"/>
        <v>460601.30000000005</v>
      </c>
      <c r="N135" s="105" t="s">
        <v>630</v>
      </c>
      <c r="O135" s="88">
        <f>1+1</f>
        <v>2</v>
      </c>
      <c r="P135" s="91">
        <f t="shared" si="12"/>
        <v>0</v>
      </c>
      <c r="Q135" s="92" t="s">
        <v>631</v>
      </c>
      <c r="R135" s="92"/>
    </row>
    <row r="136" spans="1:18" ht="58" x14ac:dyDescent="0.35">
      <c r="A136" s="94">
        <v>44468</v>
      </c>
      <c r="B136" s="73">
        <f t="shared" si="36"/>
        <v>9</v>
      </c>
      <c r="C136" s="75">
        <f t="shared" si="37"/>
        <v>2021</v>
      </c>
      <c r="D136" s="136" t="s">
        <v>527</v>
      </c>
      <c r="E136" s="116" t="s">
        <v>10</v>
      </c>
      <c r="F136" s="107" t="s">
        <v>405</v>
      </c>
      <c r="G136" s="47" t="s">
        <v>405</v>
      </c>
      <c r="H136" s="111" t="s">
        <v>51</v>
      </c>
      <c r="I136" s="89">
        <v>12</v>
      </c>
      <c r="J136" s="110" t="s">
        <v>25</v>
      </c>
      <c r="K136" s="103">
        <v>60</v>
      </c>
      <c r="L136" s="90">
        <f t="shared" si="38"/>
        <v>720</v>
      </c>
      <c r="M136" s="7">
        <f t="shared" si="14"/>
        <v>461321.30000000005</v>
      </c>
      <c r="N136" s="127" t="s">
        <v>470</v>
      </c>
      <c r="O136" s="88">
        <f>3+2+2+1+1+2+1</f>
        <v>12</v>
      </c>
      <c r="P136" s="91">
        <f t="shared" si="12"/>
        <v>0</v>
      </c>
      <c r="Q136" s="92" t="s">
        <v>469</v>
      </c>
      <c r="R136" s="92"/>
    </row>
    <row r="137" spans="1:18" ht="43.5" x14ac:dyDescent="0.35">
      <c r="A137" s="94">
        <v>44468</v>
      </c>
      <c r="B137" s="73">
        <f t="shared" si="36"/>
        <v>9</v>
      </c>
      <c r="C137" s="75">
        <f t="shared" si="37"/>
        <v>2021</v>
      </c>
      <c r="D137" s="136" t="s">
        <v>527</v>
      </c>
      <c r="E137" s="117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3">
        <v>1650</v>
      </c>
      <c r="L137" s="90">
        <f t="shared" si="38"/>
        <v>16500</v>
      </c>
      <c r="M137" s="7">
        <f t="shared" si="14"/>
        <v>477821.30000000005</v>
      </c>
      <c r="N137" s="127" t="s">
        <v>505</v>
      </c>
      <c r="O137" s="88">
        <f>2+2+3+1+2</f>
        <v>10</v>
      </c>
      <c r="P137" s="91">
        <f t="shared" si="12"/>
        <v>0</v>
      </c>
      <c r="Q137" s="92" t="s">
        <v>506</v>
      </c>
      <c r="R137" s="92"/>
    </row>
    <row r="138" spans="1:18" ht="72.5" x14ac:dyDescent="0.35">
      <c r="A138" s="94">
        <v>44473</v>
      </c>
      <c r="B138" s="73">
        <f t="shared" si="36"/>
        <v>10</v>
      </c>
      <c r="C138" s="75">
        <f t="shared" si="37"/>
        <v>2021</v>
      </c>
      <c r="D138" s="139" t="s">
        <v>437</v>
      </c>
      <c r="E138" s="116" t="s">
        <v>347</v>
      </c>
      <c r="F138" s="107" t="s">
        <v>359</v>
      </c>
      <c r="G138" s="47" t="s">
        <v>359</v>
      </c>
      <c r="H138" s="111" t="s">
        <v>51</v>
      </c>
      <c r="I138" s="89">
        <v>10</v>
      </c>
      <c r="J138" s="110" t="s">
        <v>1</v>
      </c>
      <c r="K138" s="103">
        <v>432</v>
      </c>
      <c r="L138" s="90">
        <f t="shared" si="38"/>
        <v>4320</v>
      </c>
      <c r="M138" s="7">
        <f t="shared" si="14"/>
        <v>482141.30000000005</v>
      </c>
      <c r="N138" s="127" t="s">
        <v>702</v>
      </c>
      <c r="O138" s="88">
        <f>2+1+1+1+2+1+2</f>
        <v>10</v>
      </c>
      <c r="P138" s="91">
        <f t="shared" ref="P138:P172" si="39">I138-O138</f>
        <v>0</v>
      </c>
      <c r="Q138" s="92" t="s">
        <v>703</v>
      </c>
      <c r="R138" s="92"/>
    </row>
    <row r="139" spans="1:18" ht="43.5" x14ac:dyDescent="0.35">
      <c r="A139" s="94">
        <v>44476</v>
      </c>
      <c r="B139" s="73">
        <f t="shared" si="36"/>
        <v>10</v>
      </c>
      <c r="C139" s="75">
        <f t="shared" si="37"/>
        <v>2021</v>
      </c>
      <c r="D139" s="136" t="s">
        <v>433</v>
      </c>
      <c r="E139" s="116" t="s">
        <v>10</v>
      </c>
      <c r="F139" s="107" t="s">
        <v>376</v>
      </c>
      <c r="G139" s="47" t="s">
        <v>375</v>
      </c>
      <c r="H139" s="111" t="s">
        <v>47</v>
      </c>
      <c r="I139" s="89">
        <v>25</v>
      </c>
      <c r="J139" s="110" t="s">
        <v>1</v>
      </c>
      <c r="K139" s="103">
        <v>281.2</v>
      </c>
      <c r="L139" s="90">
        <f t="shared" si="38"/>
        <v>7030</v>
      </c>
      <c r="M139" s="7">
        <f t="shared" si="14"/>
        <v>489171.30000000005</v>
      </c>
      <c r="N139" s="127" t="s">
        <v>513</v>
      </c>
      <c r="O139" s="88">
        <f>2+4+15+4</f>
        <v>25</v>
      </c>
      <c r="P139" s="91">
        <f t="shared" si="39"/>
        <v>0</v>
      </c>
      <c r="Q139" s="92" t="s">
        <v>516</v>
      </c>
      <c r="R139" s="92"/>
    </row>
    <row r="140" spans="1:18" ht="29" x14ac:dyDescent="0.35">
      <c r="A140" s="94">
        <v>44477</v>
      </c>
      <c r="B140" s="73">
        <f t="shared" si="36"/>
        <v>10</v>
      </c>
      <c r="C140" s="75">
        <f t="shared" si="37"/>
        <v>2021</v>
      </c>
      <c r="D140" s="123" t="s">
        <v>762</v>
      </c>
      <c r="E140" s="116" t="s">
        <v>424</v>
      </c>
      <c r="F140" s="107" t="s">
        <v>426</v>
      </c>
      <c r="G140" s="107" t="s">
        <v>426</v>
      </c>
      <c r="H140" s="111" t="s">
        <v>51</v>
      </c>
      <c r="I140" s="89">
        <v>1</v>
      </c>
      <c r="J140" s="110" t="s">
        <v>18</v>
      </c>
      <c r="K140" s="103">
        <v>800</v>
      </c>
      <c r="L140" s="90">
        <f t="shared" si="38"/>
        <v>800</v>
      </c>
      <c r="M140" s="7">
        <f t="shared" si="14"/>
        <v>489971.30000000005</v>
      </c>
      <c r="N140" s="105" t="s">
        <v>425</v>
      </c>
      <c r="O140" s="88">
        <v>1</v>
      </c>
      <c r="P140" s="91">
        <f t="shared" si="39"/>
        <v>0</v>
      </c>
      <c r="Q140" s="92" t="s">
        <v>438</v>
      </c>
      <c r="R140" s="92"/>
    </row>
    <row r="141" spans="1:18" ht="29" x14ac:dyDescent="0.35">
      <c r="A141" s="94">
        <v>44481</v>
      </c>
      <c r="B141" s="73">
        <f t="shared" si="36"/>
        <v>10</v>
      </c>
      <c r="C141" s="75">
        <f t="shared" si="37"/>
        <v>2021</v>
      </c>
      <c r="D141" s="136" t="s">
        <v>434</v>
      </c>
      <c r="E141" s="116" t="s">
        <v>10</v>
      </c>
      <c r="F141" s="107" t="s">
        <v>436</v>
      </c>
      <c r="G141" s="107" t="s">
        <v>436</v>
      </c>
      <c r="H141" s="111" t="s">
        <v>51</v>
      </c>
      <c r="I141" s="89">
        <v>4</v>
      </c>
      <c r="J141" s="110" t="s">
        <v>0</v>
      </c>
      <c r="K141" s="103">
        <v>1676.25</v>
      </c>
      <c r="L141" s="90">
        <f t="shared" si="38"/>
        <v>6705</v>
      </c>
      <c r="M141" s="7">
        <f t="shared" si="14"/>
        <v>496676.30000000005</v>
      </c>
      <c r="N141" s="105" t="s">
        <v>439</v>
      </c>
      <c r="O141" s="88">
        <v>4</v>
      </c>
      <c r="P141" s="91">
        <f t="shared" si="39"/>
        <v>0</v>
      </c>
      <c r="Q141" s="92"/>
      <c r="R141" s="92"/>
    </row>
    <row r="142" spans="1:18" ht="29" x14ac:dyDescent="0.35">
      <c r="A142" s="94">
        <v>44481</v>
      </c>
      <c r="B142" s="73">
        <f t="shared" si="36"/>
        <v>10</v>
      </c>
      <c r="C142" s="75">
        <f t="shared" si="37"/>
        <v>2021</v>
      </c>
      <c r="D142" s="136" t="s">
        <v>434</v>
      </c>
      <c r="E142" s="116" t="s">
        <v>10</v>
      </c>
      <c r="F142" s="107" t="s">
        <v>376</v>
      </c>
      <c r="G142" s="47" t="s">
        <v>375</v>
      </c>
      <c r="H142" s="111" t="s">
        <v>51</v>
      </c>
      <c r="I142" s="89">
        <v>10</v>
      </c>
      <c r="J142" s="110" t="s">
        <v>1</v>
      </c>
      <c r="K142" s="103">
        <v>307.10000000000002</v>
      </c>
      <c r="L142" s="90">
        <f t="shared" si="38"/>
        <v>3071</v>
      </c>
      <c r="M142" s="7">
        <f t="shared" si="14"/>
        <v>499747.30000000005</v>
      </c>
      <c r="N142" s="105" t="s">
        <v>439</v>
      </c>
      <c r="O142" s="88">
        <v>10</v>
      </c>
      <c r="P142" s="91">
        <f t="shared" si="39"/>
        <v>0</v>
      </c>
      <c r="Q142" s="92" t="s">
        <v>441</v>
      </c>
      <c r="R142" s="92"/>
    </row>
    <row r="143" spans="1:18" x14ac:dyDescent="0.35">
      <c r="A143" s="94">
        <v>44481</v>
      </c>
      <c r="B143" s="73">
        <f t="shared" si="36"/>
        <v>10</v>
      </c>
      <c r="C143" s="75">
        <f t="shared" si="37"/>
        <v>2021</v>
      </c>
      <c r="D143" s="136" t="s">
        <v>434</v>
      </c>
      <c r="E143" s="116" t="s">
        <v>10</v>
      </c>
      <c r="F143" s="107" t="s">
        <v>405</v>
      </c>
      <c r="G143" s="47" t="s">
        <v>405</v>
      </c>
      <c r="H143" s="111" t="s">
        <v>51</v>
      </c>
      <c r="I143" s="89">
        <v>4</v>
      </c>
      <c r="J143" s="110" t="s">
        <v>25</v>
      </c>
      <c r="K143" s="103">
        <v>60</v>
      </c>
      <c r="L143" s="90">
        <f t="shared" si="38"/>
        <v>240</v>
      </c>
      <c r="M143" s="7">
        <f t="shared" si="14"/>
        <v>499987.30000000005</v>
      </c>
      <c r="N143" s="105" t="s">
        <v>453</v>
      </c>
      <c r="O143" s="88">
        <v>4</v>
      </c>
      <c r="P143" s="91">
        <f t="shared" si="39"/>
        <v>0</v>
      </c>
      <c r="Q143" s="92" t="s">
        <v>440</v>
      </c>
      <c r="R143" s="92"/>
    </row>
    <row r="144" spans="1:18" ht="29" x14ac:dyDescent="0.35">
      <c r="A144" s="94">
        <v>44481</v>
      </c>
      <c r="B144" s="73">
        <f t="shared" si="36"/>
        <v>10</v>
      </c>
      <c r="C144" s="75">
        <f t="shared" si="37"/>
        <v>2021</v>
      </c>
      <c r="D144" s="136" t="s">
        <v>434</v>
      </c>
      <c r="E144" s="116" t="s">
        <v>10</v>
      </c>
      <c r="F144" s="107" t="s">
        <v>435</v>
      </c>
      <c r="G144" s="107" t="s">
        <v>435</v>
      </c>
      <c r="H144" s="111" t="s">
        <v>51</v>
      </c>
      <c r="I144" s="89">
        <v>4</v>
      </c>
      <c r="J144" s="110" t="s">
        <v>1</v>
      </c>
      <c r="K144" s="103">
        <v>288</v>
      </c>
      <c r="L144" s="90">
        <f t="shared" si="38"/>
        <v>1152</v>
      </c>
      <c r="M144" s="7">
        <f t="shared" si="14"/>
        <v>501139.30000000005</v>
      </c>
      <c r="N144" s="105" t="s">
        <v>439</v>
      </c>
      <c r="O144" s="88">
        <v>4</v>
      </c>
      <c r="P144" s="91">
        <f t="shared" si="39"/>
        <v>0</v>
      </c>
      <c r="Q144" s="92" t="s">
        <v>440</v>
      </c>
      <c r="R144" s="92"/>
    </row>
    <row r="145" spans="1:18" ht="29" x14ac:dyDescent="0.35">
      <c r="A145" s="94">
        <v>44481</v>
      </c>
      <c r="B145" s="73">
        <f t="shared" si="36"/>
        <v>10</v>
      </c>
      <c r="C145" s="75">
        <f t="shared" si="37"/>
        <v>2021</v>
      </c>
      <c r="D145" s="136" t="s">
        <v>434</v>
      </c>
      <c r="E145" s="116" t="s">
        <v>10</v>
      </c>
      <c r="F145" s="107" t="s">
        <v>28</v>
      </c>
      <c r="G145" s="107" t="s">
        <v>28</v>
      </c>
      <c r="H145" s="111" t="s">
        <v>51</v>
      </c>
      <c r="I145" s="89">
        <v>2</v>
      </c>
      <c r="J145" s="110" t="s">
        <v>217</v>
      </c>
      <c r="K145" s="103">
        <v>30</v>
      </c>
      <c r="L145" s="90">
        <f t="shared" si="38"/>
        <v>60</v>
      </c>
      <c r="M145" s="7">
        <f t="shared" si="14"/>
        <v>501199.30000000005</v>
      </c>
      <c r="N145" s="105" t="s">
        <v>439</v>
      </c>
      <c r="O145" s="88">
        <v>2</v>
      </c>
      <c r="P145" s="91">
        <f t="shared" si="39"/>
        <v>0</v>
      </c>
      <c r="Q145" s="92" t="s">
        <v>442</v>
      </c>
      <c r="R145" s="92"/>
    </row>
    <row r="146" spans="1:18" x14ac:dyDescent="0.35">
      <c r="A146" s="94">
        <v>44483</v>
      </c>
      <c r="B146" s="73">
        <f t="shared" si="36"/>
        <v>10</v>
      </c>
      <c r="C146" s="75">
        <f t="shared" si="37"/>
        <v>2021</v>
      </c>
      <c r="D146" s="136" t="s">
        <v>528</v>
      </c>
      <c r="E146" s="116" t="s">
        <v>429</v>
      </c>
      <c r="F146" s="107" t="s">
        <v>431</v>
      </c>
      <c r="G146" s="107" t="s">
        <v>431</v>
      </c>
      <c r="H146" s="111" t="s">
        <v>51</v>
      </c>
      <c r="I146" s="89">
        <v>4</v>
      </c>
      <c r="J146" s="110" t="s">
        <v>0</v>
      </c>
      <c r="K146" s="103">
        <v>1760</v>
      </c>
      <c r="L146" s="90">
        <f t="shared" si="38"/>
        <v>7040</v>
      </c>
      <c r="M146" s="7">
        <f t="shared" si="14"/>
        <v>508239.30000000005</v>
      </c>
      <c r="N146" s="105" t="s">
        <v>497</v>
      </c>
      <c r="O146" s="88">
        <f>3+1</f>
        <v>4</v>
      </c>
      <c r="P146" s="91">
        <f t="shared" si="39"/>
        <v>0</v>
      </c>
      <c r="Q146" s="92" t="s">
        <v>498</v>
      </c>
      <c r="R146" s="92"/>
    </row>
    <row r="147" spans="1:18" ht="29" x14ac:dyDescent="0.35">
      <c r="A147" s="94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36" t="s">
        <v>528</v>
      </c>
      <c r="E147" s="116" t="s">
        <v>429</v>
      </c>
      <c r="F147" s="107" t="s">
        <v>430</v>
      </c>
      <c r="G147" s="107" t="s">
        <v>430</v>
      </c>
      <c r="H147" s="111" t="s">
        <v>51</v>
      </c>
      <c r="I147" s="89">
        <v>10</v>
      </c>
      <c r="J147" s="110" t="s">
        <v>1</v>
      </c>
      <c r="K147" s="103">
        <v>468</v>
      </c>
      <c r="L147" s="90">
        <f t="shared" si="38"/>
        <v>4680</v>
      </c>
      <c r="M147" s="7">
        <f t="shared" si="14"/>
        <v>512919.30000000005</v>
      </c>
      <c r="N147" s="105" t="s">
        <v>443</v>
      </c>
      <c r="O147" s="88">
        <v>10</v>
      </c>
      <c r="P147" s="91">
        <f t="shared" si="39"/>
        <v>0</v>
      </c>
      <c r="Q147" s="92" t="s">
        <v>444</v>
      </c>
      <c r="R147" s="92"/>
    </row>
    <row r="148" spans="1:18" ht="43.5" x14ac:dyDescent="0.35">
      <c r="A148" s="94">
        <v>44483</v>
      </c>
      <c r="B148" s="73">
        <f t="shared" si="40"/>
        <v>10</v>
      </c>
      <c r="C148" s="75">
        <f t="shared" si="41"/>
        <v>2021</v>
      </c>
      <c r="D148" s="136" t="s">
        <v>529</v>
      </c>
      <c r="E148" s="116" t="s">
        <v>429</v>
      </c>
      <c r="F148" s="102" t="s">
        <v>432</v>
      </c>
      <c r="G148" s="102" t="s">
        <v>432</v>
      </c>
      <c r="H148" s="111" t="s">
        <v>51</v>
      </c>
      <c r="I148" s="89">
        <v>12</v>
      </c>
      <c r="J148" s="110" t="s">
        <v>125</v>
      </c>
      <c r="K148" s="103">
        <v>40</v>
      </c>
      <c r="L148" s="90">
        <f t="shared" si="38"/>
        <v>480</v>
      </c>
      <c r="M148" s="7">
        <f t="shared" si="14"/>
        <v>513399.30000000005</v>
      </c>
      <c r="N148" s="127" t="s">
        <v>617</v>
      </c>
      <c r="O148" s="88">
        <f>6+2+1+3</f>
        <v>12</v>
      </c>
      <c r="P148" s="91">
        <f t="shared" si="39"/>
        <v>0</v>
      </c>
      <c r="Q148" s="92" t="s">
        <v>618</v>
      </c>
      <c r="R148" s="92"/>
    </row>
    <row r="149" spans="1:18" ht="43.5" x14ac:dyDescent="0.35">
      <c r="A149" s="94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3" t="s">
        <v>445</v>
      </c>
      <c r="E149" s="116" t="s">
        <v>10</v>
      </c>
      <c r="F149" s="102" t="s">
        <v>447</v>
      </c>
      <c r="G149" s="102" t="s">
        <v>447</v>
      </c>
      <c r="H149" s="111" t="s">
        <v>51</v>
      </c>
      <c r="I149" s="89">
        <v>3</v>
      </c>
      <c r="J149" s="110" t="s">
        <v>18</v>
      </c>
      <c r="K149" s="103">
        <v>500</v>
      </c>
      <c r="L149" s="90">
        <f t="shared" si="38"/>
        <v>1500</v>
      </c>
      <c r="M149" s="7">
        <f t="shared" si="14"/>
        <v>514899.30000000005</v>
      </c>
      <c r="N149" s="105" t="s">
        <v>448</v>
      </c>
      <c r="O149" s="88">
        <v>3</v>
      </c>
      <c r="P149" s="91">
        <f t="shared" si="39"/>
        <v>0</v>
      </c>
      <c r="Q149" s="92" t="s">
        <v>449</v>
      </c>
      <c r="R149" s="92"/>
    </row>
    <row r="150" spans="1:18" ht="29" x14ac:dyDescent="0.35">
      <c r="A150" s="94">
        <v>44484</v>
      </c>
      <c r="B150" s="73">
        <f>MONTH(A150)</f>
        <v>10</v>
      </c>
      <c r="C150" s="75">
        <f t="shared" si="43"/>
        <v>2021</v>
      </c>
      <c r="D150" s="123" t="s">
        <v>446</v>
      </c>
      <c r="E150" s="116" t="s">
        <v>10</v>
      </c>
      <c r="F150" s="107" t="s">
        <v>376</v>
      </c>
      <c r="G150" s="47" t="s">
        <v>375</v>
      </c>
      <c r="H150" s="111" t="s">
        <v>51</v>
      </c>
      <c r="I150" s="89">
        <v>2</v>
      </c>
      <c r="J150" s="110" t="s">
        <v>1</v>
      </c>
      <c r="K150" s="103">
        <v>307.10000000000002</v>
      </c>
      <c r="L150" s="90">
        <f t="shared" si="38"/>
        <v>614.20000000000005</v>
      </c>
      <c r="M150" s="7">
        <f t="shared" ref="M150:M213" si="44">SUM(M149+L150)</f>
        <v>515513.50000000006</v>
      </c>
      <c r="N150" s="105" t="s">
        <v>448</v>
      </c>
      <c r="O150" s="88">
        <v>2</v>
      </c>
      <c r="P150" s="91">
        <f t="shared" si="39"/>
        <v>0</v>
      </c>
      <c r="Q150" s="92" t="s">
        <v>449</v>
      </c>
      <c r="R150" s="92"/>
    </row>
    <row r="151" spans="1:18" ht="29" x14ac:dyDescent="0.35">
      <c r="A151" s="94">
        <v>44484</v>
      </c>
      <c r="B151" s="73">
        <f t="shared" si="42"/>
        <v>10</v>
      </c>
      <c r="C151" s="75">
        <f t="shared" si="43"/>
        <v>2021</v>
      </c>
      <c r="D151" s="123" t="s">
        <v>446</v>
      </c>
      <c r="E151" s="116" t="s">
        <v>10</v>
      </c>
      <c r="F151" s="107" t="s">
        <v>435</v>
      </c>
      <c r="G151" s="107" t="s">
        <v>435</v>
      </c>
      <c r="H151" s="111" t="s">
        <v>51</v>
      </c>
      <c r="I151" s="89">
        <v>2</v>
      </c>
      <c r="J151" s="110" t="s">
        <v>1</v>
      </c>
      <c r="K151" s="103">
        <v>288</v>
      </c>
      <c r="L151" s="90">
        <f t="shared" si="38"/>
        <v>576</v>
      </c>
      <c r="M151" s="7">
        <f t="shared" si="44"/>
        <v>516089.50000000006</v>
      </c>
      <c r="N151" s="105" t="s">
        <v>448</v>
      </c>
      <c r="O151" s="88">
        <v>2</v>
      </c>
      <c r="P151" s="91">
        <f t="shared" si="39"/>
        <v>0</v>
      </c>
      <c r="Q151" s="92" t="s">
        <v>452</v>
      </c>
      <c r="R151" s="92"/>
    </row>
    <row r="152" spans="1:18" ht="29" x14ac:dyDescent="0.35">
      <c r="A152" s="94">
        <v>44487</v>
      </c>
      <c r="B152" s="73">
        <f t="shared" si="42"/>
        <v>10</v>
      </c>
      <c r="C152" s="75">
        <f t="shared" si="43"/>
        <v>2021</v>
      </c>
      <c r="D152" s="136" t="s">
        <v>490</v>
      </c>
      <c r="E152" s="116" t="s">
        <v>429</v>
      </c>
      <c r="F152" s="107" t="s">
        <v>458</v>
      </c>
      <c r="G152" s="107" t="s">
        <v>458</v>
      </c>
      <c r="H152" s="111" t="s">
        <v>51</v>
      </c>
      <c r="I152" s="89">
        <v>9</v>
      </c>
      <c r="J152" s="110" t="s">
        <v>1</v>
      </c>
      <c r="K152" s="103">
        <v>270</v>
      </c>
      <c r="L152" s="90">
        <f t="shared" si="38"/>
        <v>2430</v>
      </c>
      <c r="M152" s="7">
        <f t="shared" si="44"/>
        <v>518519.50000000006</v>
      </c>
      <c r="N152" s="105" t="s">
        <v>454</v>
      </c>
      <c r="O152" s="88">
        <v>9</v>
      </c>
      <c r="P152" s="91">
        <f t="shared" si="39"/>
        <v>0</v>
      </c>
      <c r="Q152" s="92" t="s">
        <v>459</v>
      </c>
      <c r="R152" s="92"/>
    </row>
    <row r="153" spans="1:18" ht="101.5" x14ac:dyDescent="0.35">
      <c r="A153" s="94">
        <v>44488</v>
      </c>
      <c r="B153" s="73">
        <f t="shared" si="42"/>
        <v>10</v>
      </c>
      <c r="C153" s="75">
        <f t="shared" si="43"/>
        <v>2021</v>
      </c>
      <c r="D153" s="138">
        <v>18084</v>
      </c>
      <c r="E153" s="116" t="s">
        <v>461</v>
      </c>
      <c r="F153" s="102" t="s">
        <v>462</v>
      </c>
      <c r="G153" s="102" t="s">
        <v>462</v>
      </c>
      <c r="H153" s="111" t="s">
        <v>51</v>
      </c>
      <c r="I153" s="89">
        <v>12</v>
      </c>
      <c r="J153" s="110" t="s">
        <v>18</v>
      </c>
      <c r="K153" s="103">
        <v>700</v>
      </c>
      <c r="L153" s="90">
        <f t="shared" si="38"/>
        <v>8400</v>
      </c>
      <c r="M153" s="7">
        <f>SUM(M152+L153)</f>
        <v>526919.5</v>
      </c>
      <c r="N153" s="127" t="s">
        <v>718</v>
      </c>
      <c r="O153" s="88">
        <f>1+1+1+2+1+1+1+1+1+1+1</f>
        <v>12</v>
      </c>
      <c r="P153" s="91">
        <f t="shared" si="39"/>
        <v>0</v>
      </c>
      <c r="Q153" s="92" t="s">
        <v>719</v>
      </c>
      <c r="R153" s="92"/>
    </row>
    <row r="154" spans="1:18" ht="43.5" x14ac:dyDescent="0.35">
      <c r="A154" s="94">
        <v>44487</v>
      </c>
      <c r="B154" s="73">
        <f t="shared" si="42"/>
        <v>10</v>
      </c>
      <c r="C154" s="75">
        <f t="shared" si="43"/>
        <v>2021</v>
      </c>
      <c r="D154" s="135" t="s">
        <v>533</v>
      </c>
      <c r="E154" s="116" t="s">
        <v>10</v>
      </c>
      <c r="F154" s="102" t="s">
        <v>405</v>
      </c>
      <c r="G154" s="47" t="s">
        <v>405</v>
      </c>
      <c r="H154" s="111" t="s">
        <v>51</v>
      </c>
      <c r="I154" s="89">
        <v>16</v>
      </c>
      <c r="J154" s="110" t="s">
        <v>25</v>
      </c>
      <c r="K154" s="103">
        <v>65</v>
      </c>
      <c r="L154" s="90">
        <f>SUM(I154*K154)</f>
        <v>1040</v>
      </c>
      <c r="M154" s="7">
        <f>SUM(M153+L154)</f>
        <v>527959.5</v>
      </c>
      <c r="N154" s="127" t="s">
        <v>511</v>
      </c>
      <c r="O154" s="88">
        <f>1+4+2+4+4+1</f>
        <v>16</v>
      </c>
      <c r="P154" s="91">
        <f t="shared" si="39"/>
        <v>0</v>
      </c>
      <c r="Q154" s="92" t="s">
        <v>512</v>
      </c>
      <c r="R154" s="92"/>
    </row>
    <row r="155" spans="1:18" x14ac:dyDescent="0.35">
      <c r="A155" s="94">
        <v>44490</v>
      </c>
      <c r="B155" s="73">
        <f t="shared" si="42"/>
        <v>10</v>
      </c>
      <c r="C155" s="75">
        <f t="shared" si="43"/>
        <v>2021</v>
      </c>
      <c r="D155" s="136" t="s">
        <v>490</v>
      </c>
      <c r="E155" s="116" t="s">
        <v>429</v>
      </c>
      <c r="F155" s="107" t="s">
        <v>431</v>
      </c>
      <c r="G155" s="107" t="s">
        <v>431</v>
      </c>
      <c r="H155" s="111" t="s">
        <v>51</v>
      </c>
      <c r="I155" s="89">
        <v>5</v>
      </c>
      <c r="J155" s="110" t="s">
        <v>0</v>
      </c>
      <c r="K155" s="103">
        <v>1760</v>
      </c>
      <c r="L155" s="90">
        <f t="shared" ref="L155:L157" si="45">SUM(I155*K155)</f>
        <v>8800</v>
      </c>
      <c r="M155" s="7">
        <f t="shared" si="44"/>
        <v>536759.5</v>
      </c>
      <c r="N155" s="105" t="s">
        <v>499</v>
      </c>
      <c r="O155" s="88">
        <f>4+1</f>
        <v>5</v>
      </c>
      <c r="P155" s="91">
        <f t="shared" si="39"/>
        <v>0</v>
      </c>
      <c r="Q155" s="92" t="s">
        <v>500</v>
      </c>
      <c r="R155" s="92"/>
    </row>
    <row r="156" spans="1:18" ht="58" x14ac:dyDescent="0.35">
      <c r="A156" s="94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36" t="s">
        <v>490</v>
      </c>
      <c r="E156" s="116" t="s">
        <v>429</v>
      </c>
      <c r="F156" s="59" t="s">
        <v>491</v>
      </c>
      <c r="G156" s="59" t="s">
        <v>491</v>
      </c>
      <c r="H156" s="111" t="s">
        <v>51</v>
      </c>
      <c r="I156" s="89">
        <v>10</v>
      </c>
      <c r="J156" s="110" t="s">
        <v>0</v>
      </c>
      <c r="K156" s="103">
        <v>1760</v>
      </c>
      <c r="L156" s="90">
        <f t="shared" si="45"/>
        <v>17600</v>
      </c>
      <c r="M156" s="7">
        <f t="shared" si="44"/>
        <v>554359.5</v>
      </c>
      <c r="N156" s="127" t="s">
        <v>561</v>
      </c>
      <c r="O156" s="88">
        <f>2+1+1+1+1+3+1</f>
        <v>10</v>
      </c>
      <c r="P156" s="91">
        <f t="shared" si="39"/>
        <v>0</v>
      </c>
      <c r="Q156" s="92" t="s">
        <v>562</v>
      </c>
      <c r="R156" s="92"/>
    </row>
    <row r="157" spans="1:18" x14ac:dyDescent="0.35">
      <c r="A157" s="94">
        <v>44490</v>
      </c>
      <c r="B157" s="73">
        <f t="shared" si="46"/>
        <v>10</v>
      </c>
      <c r="C157" s="75">
        <f t="shared" si="47"/>
        <v>2021</v>
      </c>
      <c r="D157" s="136" t="s">
        <v>530</v>
      </c>
      <c r="E157" s="125" t="s">
        <v>347</v>
      </c>
      <c r="F157" s="107" t="s">
        <v>489</v>
      </c>
      <c r="G157" s="107" t="s">
        <v>489</v>
      </c>
      <c r="H157" s="111" t="s">
        <v>51</v>
      </c>
      <c r="I157" s="89">
        <v>5</v>
      </c>
      <c r="J157" s="110" t="s">
        <v>0</v>
      </c>
      <c r="K157" s="103">
        <v>1749</v>
      </c>
      <c r="L157" s="90">
        <f t="shared" si="45"/>
        <v>8745</v>
      </c>
      <c r="M157" s="7">
        <f t="shared" si="44"/>
        <v>563104.5</v>
      </c>
      <c r="N157" s="105" t="s">
        <v>507</v>
      </c>
      <c r="O157" s="88">
        <f>3+2</f>
        <v>5</v>
      </c>
      <c r="P157" s="91">
        <f t="shared" si="39"/>
        <v>0</v>
      </c>
      <c r="Q157" s="92" t="s">
        <v>508</v>
      </c>
      <c r="R157" s="92"/>
    </row>
    <row r="158" spans="1:18" ht="72.5" x14ac:dyDescent="0.35">
      <c r="A158" s="94">
        <v>44495</v>
      </c>
      <c r="B158" s="73">
        <f t="shared" si="42"/>
        <v>10</v>
      </c>
      <c r="C158" s="75">
        <f t="shared" si="43"/>
        <v>2021</v>
      </c>
      <c r="D158" s="135" t="s">
        <v>534</v>
      </c>
      <c r="E158" s="116" t="s">
        <v>10</v>
      </c>
      <c r="F158" s="102" t="s">
        <v>19</v>
      </c>
      <c r="G158" s="47" t="s">
        <v>19</v>
      </c>
      <c r="H158" s="111" t="s">
        <v>51</v>
      </c>
      <c r="I158" s="89">
        <v>12</v>
      </c>
      <c r="J158" s="110" t="s">
        <v>25</v>
      </c>
      <c r="K158" s="103">
        <v>82.5</v>
      </c>
      <c r="L158" s="90">
        <f t="shared" si="38"/>
        <v>990</v>
      </c>
      <c r="M158" s="7">
        <f t="shared" si="44"/>
        <v>564094.5</v>
      </c>
      <c r="N158" s="127" t="s">
        <v>626</v>
      </c>
      <c r="O158" s="88">
        <f>1+1+1+4+2+1+1+1</f>
        <v>12</v>
      </c>
      <c r="P158" s="91">
        <f t="shared" si="39"/>
        <v>0</v>
      </c>
      <c r="Q158" s="92" t="s">
        <v>627</v>
      </c>
      <c r="R158" s="131" t="s">
        <v>480</v>
      </c>
    </row>
    <row r="159" spans="1:18" ht="29" x14ac:dyDescent="0.35">
      <c r="A159" s="94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35" t="s">
        <v>534</v>
      </c>
      <c r="E159" s="116" t="s">
        <v>10</v>
      </c>
      <c r="F159" s="107" t="s">
        <v>435</v>
      </c>
      <c r="G159" s="107" t="s">
        <v>435</v>
      </c>
      <c r="H159" s="111" t="s">
        <v>51</v>
      </c>
      <c r="I159" s="89">
        <v>20</v>
      </c>
      <c r="J159" s="110" t="s">
        <v>1</v>
      </c>
      <c r="K159" s="103">
        <v>288</v>
      </c>
      <c r="L159" s="90">
        <f t="shared" si="38"/>
        <v>5760</v>
      </c>
      <c r="M159" s="7">
        <f t="shared" si="44"/>
        <v>569854.5</v>
      </c>
      <c r="N159" s="127" t="s">
        <v>509</v>
      </c>
      <c r="O159" s="88">
        <f>9+9+2</f>
        <v>20</v>
      </c>
      <c r="P159" s="91">
        <f t="shared" si="39"/>
        <v>0</v>
      </c>
      <c r="Q159" s="92" t="s">
        <v>510</v>
      </c>
      <c r="R159" s="92"/>
    </row>
    <row r="160" spans="1:18" ht="29" x14ac:dyDescent="0.35">
      <c r="A160" s="94">
        <v>44497</v>
      </c>
      <c r="B160" s="73">
        <f t="shared" si="48"/>
        <v>10</v>
      </c>
      <c r="C160" s="75">
        <f t="shared" si="49"/>
        <v>2021</v>
      </c>
      <c r="D160" s="137" t="s">
        <v>494</v>
      </c>
      <c r="E160" s="116" t="s">
        <v>307</v>
      </c>
      <c r="F160" s="59" t="s">
        <v>645</v>
      </c>
      <c r="G160" s="59" t="s">
        <v>645</v>
      </c>
      <c r="H160" s="57" t="s">
        <v>51</v>
      </c>
      <c r="I160" s="17">
        <v>4</v>
      </c>
      <c r="J160" s="31" t="s">
        <v>125</v>
      </c>
      <c r="K160" s="103">
        <v>305</v>
      </c>
      <c r="L160" s="90">
        <f t="shared" si="38"/>
        <v>1220</v>
      </c>
      <c r="M160" s="7">
        <f t="shared" si="44"/>
        <v>571074.5</v>
      </c>
      <c r="N160" s="127" t="s">
        <v>673</v>
      </c>
      <c r="O160" s="88">
        <f>1+1+1+1</f>
        <v>4</v>
      </c>
      <c r="P160" s="91">
        <f t="shared" si="39"/>
        <v>0</v>
      </c>
      <c r="Q160" s="92" t="s">
        <v>674</v>
      </c>
      <c r="R160" s="92"/>
    </row>
    <row r="161" spans="1:18" ht="29" x14ac:dyDescent="0.35">
      <c r="A161" s="94">
        <v>44503</v>
      </c>
      <c r="B161" s="73">
        <f t="shared" ref="B161:B169" si="50">MONTH(A161)</f>
        <v>11</v>
      </c>
      <c r="C161" s="75">
        <f t="shared" ref="C161:C169" si="51">YEAR(A161)</f>
        <v>2021</v>
      </c>
      <c r="D161" s="123" t="s">
        <v>535</v>
      </c>
      <c r="E161" s="116" t="s">
        <v>10</v>
      </c>
      <c r="F161" s="107" t="s">
        <v>29</v>
      </c>
      <c r="G161" s="47" t="s">
        <v>29</v>
      </c>
      <c r="H161" s="111" t="s">
        <v>47</v>
      </c>
      <c r="I161" s="89">
        <v>10</v>
      </c>
      <c r="J161" s="110" t="s">
        <v>0</v>
      </c>
      <c r="K161" s="103">
        <v>1815</v>
      </c>
      <c r="L161" s="90">
        <f t="shared" si="38"/>
        <v>18150</v>
      </c>
      <c r="M161" s="7">
        <f t="shared" si="44"/>
        <v>589224.5</v>
      </c>
      <c r="N161" s="127" t="s">
        <v>546</v>
      </c>
      <c r="O161" s="88">
        <f>1+6+1+2</f>
        <v>10</v>
      </c>
      <c r="P161" s="91">
        <f t="shared" si="39"/>
        <v>0</v>
      </c>
      <c r="Q161" s="92" t="s">
        <v>547</v>
      </c>
      <c r="R161" s="92"/>
    </row>
    <row r="162" spans="1:18" ht="29" x14ac:dyDescent="0.35">
      <c r="A162" s="94">
        <v>44503</v>
      </c>
      <c r="B162" s="73">
        <f t="shared" si="50"/>
        <v>11</v>
      </c>
      <c r="C162" s="75">
        <f t="shared" si="51"/>
        <v>2021</v>
      </c>
      <c r="D162" s="123" t="s">
        <v>536</v>
      </c>
      <c r="E162" s="116" t="s">
        <v>10</v>
      </c>
      <c r="F162" s="107" t="s">
        <v>376</v>
      </c>
      <c r="G162" s="47" t="s">
        <v>375</v>
      </c>
      <c r="H162" s="111" t="s">
        <v>51</v>
      </c>
      <c r="I162" s="89">
        <v>1</v>
      </c>
      <c r="J162" s="110" t="s">
        <v>1</v>
      </c>
      <c r="K162" s="103">
        <v>321.89999999999998</v>
      </c>
      <c r="L162" s="90">
        <f t="shared" si="38"/>
        <v>321.89999999999998</v>
      </c>
      <c r="M162" s="7">
        <f t="shared" si="44"/>
        <v>589546.4</v>
      </c>
      <c r="N162" s="105" t="s">
        <v>514</v>
      </c>
      <c r="O162" s="88">
        <v>1</v>
      </c>
      <c r="P162" s="91">
        <f t="shared" si="39"/>
        <v>0</v>
      </c>
      <c r="Q162" s="92" t="s">
        <v>515</v>
      </c>
      <c r="R162" s="92"/>
    </row>
    <row r="163" spans="1:18" ht="29" x14ac:dyDescent="0.35">
      <c r="A163" s="94">
        <v>44503</v>
      </c>
      <c r="B163" s="73">
        <f t="shared" si="50"/>
        <v>11</v>
      </c>
      <c r="C163" s="75">
        <f t="shared" si="51"/>
        <v>2021</v>
      </c>
      <c r="D163" s="123" t="s">
        <v>536</v>
      </c>
      <c r="E163" s="116" t="s">
        <v>10</v>
      </c>
      <c r="F163" s="107" t="s">
        <v>501</v>
      </c>
      <c r="G163" s="107" t="s">
        <v>501</v>
      </c>
      <c r="H163" s="111" t="s">
        <v>51</v>
      </c>
      <c r="I163" s="89">
        <v>1</v>
      </c>
      <c r="J163" s="110" t="s">
        <v>125</v>
      </c>
      <c r="K163" s="103">
        <v>105</v>
      </c>
      <c r="L163" s="90">
        <f t="shared" si="38"/>
        <v>105</v>
      </c>
      <c r="M163" s="7">
        <f t="shared" si="44"/>
        <v>589651.4</v>
      </c>
      <c r="N163" s="105" t="s">
        <v>753</v>
      </c>
      <c r="O163" s="88">
        <v>1</v>
      </c>
      <c r="P163" s="91">
        <f t="shared" si="39"/>
        <v>0</v>
      </c>
      <c r="Q163" s="92" t="s">
        <v>756</v>
      </c>
      <c r="R163" s="92"/>
    </row>
    <row r="164" spans="1:18" ht="43.5" x14ac:dyDescent="0.35">
      <c r="A164" s="94">
        <v>44503</v>
      </c>
      <c r="B164" s="73">
        <f t="shared" si="50"/>
        <v>11</v>
      </c>
      <c r="C164" s="75">
        <f t="shared" si="51"/>
        <v>2021</v>
      </c>
      <c r="D164" s="123" t="s">
        <v>537</v>
      </c>
      <c r="E164" s="116" t="s">
        <v>10</v>
      </c>
      <c r="F164" s="107" t="s">
        <v>376</v>
      </c>
      <c r="G164" s="47" t="s">
        <v>375</v>
      </c>
      <c r="H164" s="111" t="s">
        <v>47</v>
      </c>
      <c r="I164" s="89">
        <v>32</v>
      </c>
      <c r="J164" s="110" t="s">
        <v>1</v>
      </c>
      <c r="K164" s="103">
        <v>321.89999999999998</v>
      </c>
      <c r="L164" s="90">
        <f t="shared" si="38"/>
        <v>10300.799999999999</v>
      </c>
      <c r="M164" s="7">
        <f t="shared" si="44"/>
        <v>599952.20000000007</v>
      </c>
      <c r="N164" s="127" t="s">
        <v>520</v>
      </c>
      <c r="O164" s="88">
        <f>11+6+15</f>
        <v>32</v>
      </c>
      <c r="P164" s="91">
        <f t="shared" si="39"/>
        <v>0</v>
      </c>
      <c r="Q164" s="92" t="s">
        <v>521</v>
      </c>
      <c r="R164" s="92"/>
    </row>
    <row r="165" spans="1:18" ht="29" x14ac:dyDescent="0.35">
      <c r="A165" s="94">
        <v>44503</v>
      </c>
      <c r="B165" s="73">
        <f t="shared" si="50"/>
        <v>11</v>
      </c>
      <c r="C165" s="75">
        <f t="shared" si="51"/>
        <v>2021</v>
      </c>
      <c r="D165" s="123" t="s">
        <v>538</v>
      </c>
      <c r="E165" s="116" t="s">
        <v>10</v>
      </c>
      <c r="F165" s="107" t="s">
        <v>435</v>
      </c>
      <c r="G165" s="107" t="s">
        <v>435</v>
      </c>
      <c r="H165" s="111" t="s">
        <v>51</v>
      </c>
      <c r="I165" s="89">
        <v>10</v>
      </c>
      <c r="J165" s="110" t="s">
        <v>1</v>
      </c>
      <c r="K165" s="103">
        <v>288</v>
      </c>
      <c r="L165" s="90">
        <f t="shared" si="38"/>
        <v>2880</v>
      </c>
      <c r="M165" s="7">
        <f t="shared" si="44"/>
        <v>602832.20000000007</v>
      </c>
      <c r="N165" s="127" t="s">
        <v>555</v>
      </c>
      <c r="O165" s="88">
        <f>5+4+1</f>
        <v>10</v>
      </c>
      <c r="P165" s="91">
        <f t="shared" si="39"/>
        <v>0</v>
      </c>
      <c r="Q165" s="92" t="s">
        <v>556</v>
      </c>
      <c r="R165" s="92"/>
    </row>
    <row r="166" spans="1:18" ht="29" x14ac:dyDescent="0.35">
      <c r="A166" s="94">
        <v>44503</v>
      </c>
      <c r="B166" s="73">
        <f t="shared" si="50"/>
        <v>11</v>
      </c>
      <c r="C166" s="75">
        <f t="shared" si="51"/>
        <v>2021</v>
      </c>
      <c r="D166" s="123" t="s">
        <v>539</v>
      </c>
      <c r="E166" s="116" t="s">
        <v>10</v>
      </c>
      <c r="F166" s="107" t="s">
        <v>233</v>
      </c>
      <c r="G166" s="47" t="s">
        <v>233</v>
      </c>
      <c r="H166" s="111" t="s">
        <v>47</v>
      </c>
      <c r="I166" s="89">
        <v>5</v>
      </c>
      <c r="J166" s="110" t="s">
        <v>217</v>
      </c>
      <c r="K166" s="103">
        <v>390</v>
      </c>
      <c r="L166" s="90">
        <f t="shared" si="38"/>
        <v>1950</v>
      </c>
      <c r="M166" s="7">
        <f t="shared" si="44"/>
        <v>604782.20000000007</v>
      </c>
      <c r="N166" s="127" t="s">
        <v>641</v>
      </c>
      <c r="O166" s="88">
        <f>1+3+1</f>
        <v>5</v>
      </c>
      <c r="P166" s="91">
        <f t="shared" si="39"/>
        <v>0</v>
      </c>
      <c r="Q166" s="92" t="s">
        <v>642</v>
      </c>
      <c r="R166" s="92"/>
    </row>
    <row r="167" spans="1:18" ht="29" x14ac:dyDescent="0.35">
      <c r="A167" s="94">
        <v>44505</v>
      </c>
      <c r="B167" s="73">
        <f t="shared" si="50"/>
        <v>11</v>
      </c>
      <c r="C167" s="75">
        <f t="shared" si="51"/>
        <v>2021</v>
      </c>
      <c r="D167" s="123" t="s">
        <v>540</v>
      </c>
      <c r="E167" s="116" t="s">
        <v>10</v>
      </c>
      <c r="F167" s="107" t="s">
        <v>405</v>
      </c>
      <c r="G167" s="47" t="s">
        <v>405</v>
      </c>
      <c r="H167" s="111" t="s">
        <v>47</v>
      </c>
      <c r="I167" s="89">
        <v>8</v>
      </c>
      <c r="J167" s="110" t="s">
        <v>25</v>
      </c>
      <c r="K167" s="103">
        <v>65</v>
      </c>
      <c r="L167" s="90">
        <f t="shared" si="38"/>
        <v>520</v>
      </c>
      <c r="M167" s="7">
        <f t="shared" si="44"/>
        <v>605302.20000000007</v>
      </c>
      <c r="N167" s="127" t="s">
        <v>563</v>
      </c>
      <c r="O167" s="88">
        <f>3+2+2+1</f>
        <v>8</v>
      </c>
      <c r="P167" s="91">
        <f t="shared" si="39"/>
        <v>0</v>
      </c>
      <c r="Q167" s="92" t="s">
        <v>564</v>
      </c>
      <c r="R167" s="92"/>
    </row>
    <row r="168" spans="1:18" x14ac:dyDescent="0.35">
      <c r="A168" s="94">
        <v>44505</v>
      </c>
      <c r="B168" s="73">
        <f t="shared" si="50"/>
        <v>11</v>
      </c>
      <c r="C168" s="75">
        <f t="shared" si="51"/>
        <v>2021</v>
      </c>
      <c r="D168" s="123" t="s">
        <v>540</v>
      </c>
      <c r="E168" s="116" t="s">
        <v>10</v>
      </c>
      <c r="F168" s="107" t="s">
        <v>19</v>
      </c>
      <c r="G168" s="47" t="s">
        <v>19</v>
      </c>
      <c r="H168" s="111" t="s">
        <v>47</v>
      </c>
      <c r="I168" s="89">
        <v>4</v>
      </c>
      <c r="J168" s="110" t="s">
        <v>25</v>
      </c>
      <c r="K168" s="103">
        <v>90</v>
      </c>
      <c r="L168" s="90">
        <f t="shared" si="38"/>
        <v>360</v>
      </c>
      <c r="M168" s="7">
        <f t="shared" si="44"/>
        <v>605662.20000000007</v>
      </c>
      <c r="N168" s="105" t="s">
        <v>623</v>
      </c>
      <c r="O168" s="88">
        <v>4</v>
      </c>
      <c r="P168" s="91">
        <f t="shared" si="39"/>
        <v>0</v>
      </c>
      <c r="Q168" s="92" t="s">
        <v>628</v>
      </c>
      <c r="R168" s="92"/>
    </row>
    <row r="169" spans="1:18" ht="29" x14ac:dyDescent="0.35">
      <c r="A169" s="94">
        <v>44508</v>
      </c>
      <c r="B169" s="73">
        <f t="shared" si="50"/>
        <v>11</v>
      </c>
      <c r="C169" s="75">
        <f t="shared" si="51"/>
        <v>2021</v>
      </c>
      <c r="D169" s="123" t="s">
        <v>532</v>
      </c>
      <c r="E169" s="116" t="s">
        <v>502</v>
      </c>
      <c r="F169" s="107" t="s">
        <v>518</v>
      </c>
      <c r="G169" s="107" t="s">
        <v>518</v>
      </c>
      <c r="H169" s="111" t="s">
        <v>51</v>
      </c>
      <c r="I169" s="89">
        <v>10</v>
      </c>
      <c r="J169" s="110" t="s">
        <v>1</v>
      </c>
      <c r="K169" s="103">
        <v>333</v>
      </c>
      <c r="L169" s="90">
        <f t="shared" si="38"/>
        <v>3330</v>
      </c>
      <c r="M169" s="7">
        <f t="shared" si="44"/>
        <v>608992.20000000007</v>
      </c>
      <c r="N169" s="105" t="s">
        <v>559</v>
      </c>
      <c r="O169" s="88">
        <f>1+9</f>
        <v>10</v>
      </c>
      <c r="P169" s="91">
        <f t="shared" si="39"/>
        <v>0</v>
      </c>
      <c r="Q169" s="92" t="s">
        <v>560</v>
      </c>
      <c r="R169" s="92"/>
    </row>
    <row r="170" spans="1:18" ht="29" x14ac:dyDescent="0.35">
      <c r="A170" s="94">
        <v>44508</v>
      </c>
      <c r="B170" s="73">
        <f t="shared" ref="B170" si="52">MONTH(A170)</f>
        <v>11</v>
      </c>
      <c r="C170" s="75">
        <f t="shared" ref="C170" si="53">YEAR(A170)</f>
        <v>2021</v>
      </c>
      <c r="D170" s="123"/>
      <c r="E170" s="116" t="s">
        <v>10</v>
      </c>
      <c r="F170" s="107" t="s">
        <v>16</v>
      </c>
      <c r="G170" s="107" t="s">
        <v>16</v>
      </c>
      <c r="H170" s="111" t="s">
        <v>47</v>
      </c>
      <c r="I170" s="89">
        <v>5</v>
      </c>
      <c r="J170" s="110" t="s">
        <v>18</v>
      </c>
      <c r="K170" s="103">
        <v>246</v>
      </c>
      <c r="L170" s="90">
        <f t="shared" si="38"/>
        <v>1230</v>
      </c>
      <c r="M170" s="7">
        <f t="shared" si="44"/>
        <v>610222.20000000007</v>
      </c>
      <c r="N170" s="127" t="s">
        <v>643</v>
      </c>
      <c r="O170" s="88">
        <f>2+1+2</f>
        <v>5</v>
      </c>
      <c r="P170" s="91">
        <f t="shared" si="39"/>
        <v>0</v>
      </c>
      <c r="Q170" s="92" t="s">
        <v>644</v>
      </c>
      <c r="R170" s="92"/>
    </row>
    <row r="171" spans="1:18" x14ac:dyDescent="0.35">
      <c r="A171" s="94">
        <v>44510</v>
      </c>
      <c r="B171" s="73">
        <f t="shared" ref="B171" si="54">MONTH(A171)</f>
        <v>11</v>
      </c>
      <c r="C171" s="75">
        <f t="shared" ref="C171" si="55">YEAR(A171)</f>
        <v>2021</v>
      </c>
      <c r="D171" s="136" t="s">
        <v>531</v>
      </c>
      <c r="E171" s="125" t="s">
        <v>347</v>
      </c>
      <c r="F171" s="107" t="s">
        <v>489</v>
      </c>
      <c r="G171" s="107" t="s">
        <v>489</v>
      </c>
      <c r="H171" s="111" t="s">
        <v>51</v>
      </c>
      <c r="I171" s="89">
        <v>10</v>
      </c>
      <c r="J171" s="110" t="s">
        <v>0</v>
      </c>
      <c r="K171" s="103">
        <v>1914</v>
      </c>
      <c r="L171" s="90">
        <f t="shared" si="38"/>
        <v>19140</v>
      </c>
      <c r="M171" s="7">
        <f t="shared" si="44"/>
        <v>629362.20000000007</v>
      </c>
      <c r="N171" s="105" t="s">
        <v>549</v>
      </c>
      <c r="O171" s="88">
        <f>9+1</f>
        <v>10</v>
      </c>
      <c r="P171" s="91">
        <f t="shared" si="39"/>
        <v>0</v>
      </c>
      <c r="Q171" s="92" t="s">
        <v>550</v>
      </c>
      <c r="R171" s="92"/>
    </row>
    <row r="172" spans="1:18" ht="29" x14ac:dyDescent="0.35">
      <c r="A172" s="94">
        <v>44511</v>
      </c>
      <c r="B172" s="73">
        <f t="shared" ref="B172" si="56">MONTH(A172)</f>
        <v>11</v>
      </c>
      <c r="C172" s="75">
        <f t="shared" ref="C172" si="57">YEAR(A172)</f>
        <v>2021</v>
      </c>
      <c r="D172" s="123" t="s">
        <v>541</v>
      </c>
      <c r="E172" s="116" t="s">
        <v>10</v>
      </c>
      <c r="F172" s="107" t="s">
        <v>435</v>
      </c>
      <c r="G172" s="47" t="s">
        <v>435</v>
      </c>
      <c r="H172" s="111" t="s">
        <v>51</v>
      </c>
      <c r="I172" s="89">
        <v>10</v>
      </c>
      <c r="J172" s="110" t="s">
        <v>1</v>
      </c>
      <c r="K172" s="103">
        <v>288</v>
      </c>
      <c r="L172" s="90">
        <f t="shared" si="38"/>
        <v>2880</v>
      </c>
      <c r="M172" s="7">
        <f t="shared" si="44"/>
        <v>632242.20000000007</v>
      </c>
      <c r="N172" s="105" t="s">
        <v>519</v>
      </c>
      <c r="O172" s="88">
        <v>10</v>
      </c>
      <c r="P172" s="91">
        <f t="shared" si="39"/>
        <v>0</v>
      </c>
      <c r="Q172" s="92" t="s">
        <v>522</v>
      </c>
      <c r="R172" s="92"/>
    </row>
    <row r="173" spans="1:18" ht="29" x14ac:dyDescent="0.35">
      <c r="A173" s="94">
        <v>44511</v>
      </c>
      <c r="B173" s="73">
        <f t="shared" ref="B173" si="58">MONTH(A173)</f>
        <v>11</v>
      </c>
      <c r="C173" s="75">
        <f t="shared" ref="C173" si="59">YEAR(A173)</f>
        <v>2021</v>
      </c>
      <c r="D173" s="123" t="s">
        <v>542</v>
      </c>
      <c r="E173" s="116" t="s">
        <v>10</v>
      </c>
      <c r="F173" s="107" t="s">
        <v>28</v>
      </c>
      <c r="G173" s="107" t="s">
        <v>28</v>
      </c>
      <c r="H173" s="111" t="s">
        <v>51</v>
      </c>
      <c r="I173" s="89">
        <v>5</v>
      </c>
      <c r="J173" s="110" t="s">
        <v>217</v>
      </c>
      <c r="K173" s="103">
        <v>32.5</v>
      </c>
      <c r="L173" s="90">
        <f t="shared" ref="L173" si="60">SUM(I173*K173)</f>
        <v>162.5</v>
      </c>
      <c r="M173" s="7">
        <f t="shared" si="44"/>
        <v>632404.70000000007</v>
      </c>
      <c r="N173" s="105" t="s">
        <v>519</v>
      </c>
      <c r="O173" s="88">
        <v>5</v>
      </c>
      <c r="P173" s="91">
        <f t="shared" ref="P173" si="61">I173-O173</f>
        <v>0</v>
      </c>
      <c r="Q173" s="92" t="s">
        <v>525</v>
      </c>
      <c r="R173" s="92"/>
    </row>
    <row r="174" spans="1:18" ht="203" x14ac:dyDescent="0.35">
      <c r="A174" s="94">
        <v>44512</v>
      </c>
      <c r="B174" s="73">
        <f t="shared" ref="B174:B175" si="62">MONTH(A174)</f>
        <v>11</v>
      </c>
      <c r="C174" s="75">
        <f t="shared" ref="C174:C175" si="63">YEAR(A174)</f>
        <v>2021</v>
      </c>
      <c r="D174" s="123" t="s">
        <v>543</v>
      </c>
      <c r="E174" s="116" t="s">
        <v>10</v>
      </c>
      <c r="F174" s="107" t="s">
        <v>28</v>
      </c>
      <c r="G174" s="107" t="s">
        <v>28</v>
      </c>
      <c r="H174" s="111" t="s">
        <v>47</v>
      </c>
      <c r="I174" s="89">
        <v>80</v>
      </c>
      <c r="J174" s="110" t="s">
        <v>217</v>
      </c>
      <c r="K174" s="103">
        <v>32.5</v>
      </c>
      <c r="L174" s="90">
        <f t="shared" ref="L174:L192" si="64">SUM(I174*K174)</f>
        <v>2600</v>
      </c>
      <c r="M174" s="7">
        <f t="shared" si="44"/>
        <v>635004.70000000007</v>
      </c>
      <c r="N174" s="127" t="s">
        <v>714</v>
      </c>
      <c r="O174" s="88">
        <f>2+3+4+3+5+3+3+5+4+2+2+10+8+1+2+10+5+4+4</f>
        <v>80</v>
      </c>
      <c r="P174" s="91">
        <f>I174-O174</f>
        <v>0</v>
      </c>
      <c r="Q174" s="92" t="s">
        <v>715</v>
      </c>
      <c r="R174" s="92"/>
    </row>
    <row r="175" spans="1:18" x14ac:dyDescent="0.35">
      <c r="A175" s="94">
        <v>44526</v>
      </c>
      <c r="B175" s="73">
        <f t="shared" si="62"/>
        <v>11</v>
      </c>
      <c r="C175" s="75">
        <f t="shared" si="63"/>
        <v>2021</v>
      </c>
      <c r="D175" s="123" t="s">
        <v>552</v>
      </c>
      <c r="E175" s="116" t="s">
        <v>429</v>
      </c>
      <c r="F175" s="47" t="s">
        <v>431</v>
      </c>
      <c r="G175" s="47" t="s">
        <v>431</v>
      </c>
      <c r="H175" s="111" t="s">
        <v>51</v>
      </c>
      <c r="I175" s="89">
        <v>4</v>
      </c>
      <c r="J175" s="110" t="s">
        <v>0</v>
      </c>
      <c r="K175" s="103">
        <v>2002</v>
      </c>
      <c r="L175" s="90">
        <f t="shared" si="64"/>
        <v>8008</v>
      </c>
      <c r="M175" s="7">
        <f t="shared" si="44"/>
        <v>643012.70000000007</v>
      </c>
      <c r="N175" s="105" t="s">
        <v>584</v>
      </c>
      <c r="O175" s="88">
        <f>1+3</f>
        <v>4</v>
      </c>
      <c r="P175" s="91">
        <f t="shared" ref="P175:P238" si="65">I175-O175</f>
        <v>0</v>
      </c>
      <c r="Q175" s="92" t="s">
        <v>585</v>
      </c>
      <c r="R175" s="92"/>
    </row>
    <row r="176" spans="1:18" ht="29" x14ac:dyDescent="0.35">
      <c r="A176" s="94">
        <v>44526</v>
      </c>
      <c r="B176" s="73">
        <f t="shared" ref="B176" si="66">MONTH(A176)</f>
        <v>11</v>
      </c>
      <c r="C176" s="75">
        <f t="shared" ref="C176" si="67">YEAR(A176)</f>
        <v>2021</v>
      </c>
      <c r="D176" s="123" t="s">
        <v>552</v>
      </c>
      <c r="E176" s="116" t="s">
        <v>429</v>
      </c>
      <c r="F176" s="107" t="s">
        <v>491</v>
      </c>
      <c r="G176" s="47" t="s">
        <v>491</v>
      </c>
      <c r="H176" s="111" t="s">
        <v>51</v>
      </c>
      <c r="I176" s="89">
        <v>4</v>
      </c>
      <c r="J176" s="110" t="s">
        <v>0</v>
      </c>
      <c r="K176" s="103">
        <v>2002</v>
      </c>
      <c r="L176" s="90">
        <f t="shared" si="64"/>
        <v>8008</v>
      </c>
      <c r="M176" s="7">
        <f t="shared" si="44"/>
        <v>651020.70000000007</v>
      </c>
      <c r="N176" s="127" t="s">
        <v>595</v>
      </c>
      <c r="O176" s="88">
        <f>3+1</f>
        <v>4</v>
      </c>
      <c r="P176" s="91">
        <f t="shared" si="65"/>
        <v>0</v>
      </c>
      <c r="Q176" s="92" t="s">
        <v>596</v>
      </c>
      <c r="R176" s="92"/>
    </row>
    <row r="177" spans="1:18" ht="29" x14ac:dyDescent="0.35">
      <c r="A177" s="94">
        <v>44526</v>
      </c>
      <c r="B177" s="73">
        <v>11</v>
      </c>
      <c r="C177" s="75">
        <v>2021</v>
      </c>
      <c r="D177" s="123" t="s">
        <v>551</v>
      </c>
      <c r="E177" s="116" t="s">
        <v>429</v>
      </c>
      <c r="F177" s="107" t="s">
        <v>458</v>
      </c>
      <c r="G177" s="47" t="s">
        <v>435</v>
      </c>
      <c r="H177" s="111" t="s">
        <v>51</v>
      </c>
      <c r="I177" s="89">
        <v>2</v>
      </c>
      <c r="J177" s="110" t="s">
        <v>1</v>
      </c>
      <c r="K177" s="103">
        <v>240</v>
      </c>
      <c r="L177" s="90">
        <f t="shared" si="64"/>
        <v>480</v>
      </c>
      <c r="M177" s="7">
        <f t="shared" si="44"/>
        <v>651500.70000000007</v>
      </c>
      <c r="N177" s="105" t="s">
        <v>557</v>
      </c>
      <c r="O177" s="88">
        <v>2</v>
      </c>
      <c r="P177" s="91">
        <f t="shared" si="65"/>
        <v>0</v>
      </c>
      <c r="Q177" s="92" t="s">
        <v>558</v>
      </c>
      <c r="R177" s="92"/>
    </row>
    <row r="178" spans="1:18" ht="72.5" x14ac:dyDescent="0.35">
      <c r="A178" s="94">
        <v>44531</v>
      </c>
      <c r="B178" s="73">
        <f t="shared" ref="B178:B187" si="68">MONTH(A178)</f>
        <v>12</v>
      </c>
      <c r="C178" s="75">
        <f t="shared" ref="C178:C187" si="69">YEAR(A178)</f>
        <v>2021</v>
      </c>
      <c r="D178" s="123" t="s">
        <v>572</v>
      </c>
      <c r="E178" s="116" t="s">
        <v>10</v>
      </c>
      <c r="F178" s="107" t="s">
        <v>405</v>
      </c>
      <c r="G178" s="47" t="s">
        <v>405</v>
      </c>
      <c r="H178" s="111" t="s">
        <v>47</v>
      </c>
      <c r="I178" s="89">
        <v>20</v>
      </c>
      <c r="J178" s="110" t="s">
        <v>25</v>
      </c>
      <c r="K178" s="103">
        <v>65</v>
      </c>
      <c r="L178" s="90">
        <f t="shared" ref="L178:L182" si="70">SUM(I178*K178)</f>
        <v>1300</v>
      </c>
      <c r="M178" s="7">
        <f t="shared" si="44"/>
        <v>652800.70000000007</v>
      </c>
      <c r="N178" s="127" t="s">
        <v>665</v>
      </c>
      <c r="O178" s="88">
        <f>1+2+4+4+4+4+1</f>
        <v>20</v>
      </c>
      <c r="P178" s="91">
        <f t="shared" si="65"/>
        <v>0</v>
      </c>
      <c r="Q178" s="92" t="s">
        <v>664</v>
      </c>
      <c r="R178" s="92"/>
    </row>
    <row r="179" spans="1:18" ht="101.5" x14ac:dyDescent="0.35">
      <c r="A179" s="94">
        <v>44531</v>
      </c>
      <c r="B179" s="73">
        <f t="shared" si="68"/>
        <v>12</v>
      </c>
      <c r="C179" s="75">
        <f t="shared" si="69"/>
        <v>2021</v>
      </c>
      <c r="D179" s="123" t="s">
        <v>572</v>
      </c>
      <c r="E179" s="116" t="s">
        <v>10</v>
      </c>
      <c r="F179" s="107" t="s">
        <v>19</v>
      </c>
      <c r="G179" s="47" t="s">
        <v>19</v>
      </c>
      <c r="H179" s="111" t="s">
        <v>47</v>
      </c>
      <c r="I179" s="89">
        <v>12</v>
      </c>
      <c r="J179" s="110" t="s">
        <v>25</v>
      </c>
      <c r="K179" s="103">
        <v>90</v>
      </c>
      <c r="L179" s="90">
        <f t="shared" si="70"/>
        <v>1080</v>
      </c>
      <c r="M179" s="7">
        <f t="shared" si="44"/>
        <v>653880.70000000007</v>
      </c>
      <c r="N179" s="127" t="s">
        <v>744</v>
      </c>
      <c r="O179" s="88">
        <f>1+1+1+6+1+1+1</f>
        <v>12</v>
      </c>
      <c r="P179" s="91">
        <f t="shared" si="65"/>
        <v>0</v>
      </c>
      <c r="Q179" s="92" t="s">
        <v>745</v>
      </c>
      <c r="R179" s="92"/>
    </row>
    <row r="180" spans="1:18" ht="29" x14ac:dyDescent="0.35">
      <c r="A180" s="94">
        <v>44532</v>
      </c>
      <c r="B180" s="73">
        <f t="shared" si="68"/>
        <v>12</v>
      </c>
      <c r="C180" s="75">
        <f t="shared" si="69"/>
        <v>2021</v>
      </c>
      <c r="D180" s="123" t="s">
        <v>582</v>
      </c>
      <c r="E180" s="125" t="s">
        <v>347</v>
      </c>
      <c r="F180" s="107" t="s">
        <v>489</v>
      </c>
      <c r="G180" s="107" t="s">
        <v>489</v>
      </c>
      <c r="H180" s="111" t="s">
        <v>51</v>
      </c>
      <c r="I180" s="89">
        <v>10</v>
      </c>
      <c r="J180" s="110" t="s">
        <v>0</v>
      </c>
      <c r="K180" s="103">
        <v>1914</v>
      </c>
      <c r="L180" s="90">
        <f t="shared" si="70"/>
        <v>19140</v>
      </c>
      <c r="M180" s="7">
        <f t="shared" si="44"/>
        <v>673020.70000000007</v>
      </c>
      <c r="N180" s="127" t="s">
        <v>615</v>
      </c>
      <c r="O180" s="88">
        <f>3+1+4+2</f>
        <v>10</v>
      </c>
      <c r="P180" s="91">
        <f t="shared" si="65"/>
        <v>0</v>
      </c>
      <c r="Q180" s="92" t="s">
        <v>616</v>
      </c>
      <c r="R180" s="92"/>
    </row>
    <row r="181" spans="1:18" ht="29" x14ac:dyDescent="0.35">
      <c r="A181" s="106" t="s">
        <v>570</v>
      </c>
      <c r="B181" s="73">
        <f t="shared" si="68"/>
        <v>12</v>
      </c>
      <c r="C181" s="75">
        <f t="shared" si="69"/>
        <v>2021</v>
      </c>
      <c r="D181" s="123" t="s">
        <v>574</v>
      </c>
      <c r="E181" s="116" t="s">
        <v>10</v>
      </c>
      <c r="F181" s="107" t="s">
        <v>575</v>
      </c>
      <c r="G181" s="107" t="s">
        <v>575</v>
      </c>
      <c r="H181" s="111" t="s">
        <v>47</v>
      </c>
      <c r="I181" s="89">
        <v>5</v>
      </c>
      <c r="J181" s="110" t="s">
        <v>0</v>
      </c>
      <c r="K181" s="103">
        <v>1957.5</v>
      </c>
      <c r="L181" s="90">
        <f t="shared" si="70"/>
        <v>9787.5</v>
      </c>
      <c r="M181" s="7">
        <f t="shared" si="44"/>
        <v>682808.20000000007</v>
      </c>
      <c r="N181" s="105" t="s">
        <v>565</v>
      </c>
      <c r="O181" s="88">
        <v>5</v>
      </c>
      <c r="P181" s="91">
        <f t="shared" si="65"/>
        <v>0</v>
      </c>
      <c r="Q181" s="92" t="s">
        <v>576</v>
      </c>
      <c r="R181" s="92"/>
    </row>
    <row r="182" spans="1:18" ht="43.5" x14ac:dyDescent="0.35">
      <c r="A182" s="106" t="s">
        <v>570</v>
      </c>
      <c r="B182" s="73">
        <f t="shared" si="68"/>
        <v>12</v>
      </c>
      <c r="C182" s="75">
        <f t="shared" si="69"/>
        <v>2021</v>
      </c>
      <c r="D182" s="123" t="s">
        <v>574</v>
      </c>
      <c r="E182" s="116" t="s">
        <v>10</v>
      </c>
      <c r="F182" s="107" t="s">
        <v>233</v>
      </c>
      <c r="G182" s="47" t="s">
        <v>233</v>
      </c>
      <c r="H182" s="111" t="s">
        <v>47</v>
      </c>
      <c r="I182" s="89">
        <v>3</v>
      </c>
      <c r="J182" s="110" t="s">
        <v>217</v>
      </c>
      <c r="K182" s="103">
        <v>390</v>
      </c>
      <c r="L182" s="90">
        <f t="shared" si="70"/>
        <v>1170</v>
      </c>
      <c r="M182" s="7">
        <f t="shared" si="44"/>
        <v>683978.20000000007</v>
      </c>
      <c r="N182" s="127" t="s">
        <v>710</v>
      </c>
      <c r="O182" s="88">
        <f>1+1+1</f>
        <v>3</v>
      </c>
      <c r="P182" s="91">
        <f t="shared" si="65"/>
        <v>0</v>
      </c>
      <c r="Q182" s="92" t="s">
        <v>711</v>
      </c>
      <c r="R182" s="92"/>
    </row>
    <row r="183" spans="1:18" ht="29" x14ac:dyDescent="0.35">
      <c r="A183" s="94">
        <v>44538</v>
      </c>
      <c r="B183" s="73">
        <f t="shared" si="68"/>
        <v>12</v>
      </c>
      <c r="C183" s="75">
        <f t="shared" si="69"/>
        <v>2021</v>
      </c>
      <c r="D183" s="123" t="s">
        <v>571</v>
      </c>
      <c r="E183" s="116" t="s">
        <v>10</v>
      </c>
      <c r="F183" s="107" t="s">
        <v>435</v>
      </c>
      <c r="G183" s="107" t="s">
        <v>435</v>
      </c>
      <c r="H183" s="111" t="s">
        <v>51</v>
      </c>
      <c r="I183" s="89">
        <v>1</v>
      </c>
      <c r="J183" s="110" t="s">
        <v>1</v>
      </c>
      <c r="K183" s="103">
        <v>288</v>
      </c>
      <c r="L183" s="90">
        <f t="shared" si="64"/>
        <v>288</v>
      </c>
      <c r="M183" s="7">
        <f t="shared" si="44"/>
        <v>684266.20000000007</v>
      </c>
      <c r="N183" s="105" t="s">
        <v>557</v>
      </c>
      <c r="O183" s="88">
        <v>1</v>
      </c>
      <c r="P183" s="91">
        <f t="shared" si="65"/>
        <v>0</v>
      </c>
      <c r="Q183" s="92" t="s">
        <v>569</v>
      </c>
      <c r="R183" s="92"/>
    </row>
    <row r="184" spans="1:18" ht="29" x14ac:dyDescent="0.35">
      <c r="A184" s="94">
        <v>44538</v>
      </c>
      <c r="B184" s="73">
        <f t="shared" si="68"/>
        <v>12</v>
      </c>
      <c r="C184" s="75">
        <f t="shared" si="69"/>
        <v>2021</v>
      </c>
      <c r="D184" s="123" t="s">
        <v>571</v>
      </c>
      <c r="E184" s="116" t="s">
        <v>10</v>
      </c>
      <c r="F184" s="107" t="s">
        <v>573</v>
      </c>
      <c r="G184" s="107" t="s">
        <v>573</v>
      </c>
      <c r="H184" s="111" t="s">
        <v>51</v>
      </c>
      <c r="I184" s="89">
        <v>2</v>
      </c>
      <c r="J184" s="110" t="s">
        <v>1</v>
      </c>
      <c r="K184" s="103">
        <v>288</v>
      </c>
      <c r="L184" s="90">
        <f t="shared" si="64"/>
        <v>576</v>
      </c>
      <c r="M184" s="7">
        <f t="shared" si="44"/>
        <v>684842.20000000007</v>
      </c>
      <c r="N184" s="105" t="s">
        <v>557</v>
      </c>
      <c r="O184" s="88">
        <v>2</v>
      </c>
      <c r="P184" s="91">
        <f t="shared" si="65"/>
        <v>0</v>
      </c>
      <c r="Q184" s="92" t="s">
        <v>558</v>
      </c>
      <c r="R184" s="92"/>
    </row>
    <row r="185" spans="1:18" ht="29" x14ac:dyDescent="0.35">
      <c r="A185" s="94">
        <v>44539</v>
      </c>
      <c r="B185" s="73">
        <f t="shared" si="68"/>
        <v>12</v>
      </c>
      <c r="C185" s="75">
        <f t="shared" si="69"/>
        <v>2021</v>
      </c>
      <c r="D185" s="123" t="s">
        <v>567</v>
      </c>
      <c r="E185" s="116" t="s">
        <v>10</v>
      </c>
      <c r="F185" s="107" t="s">
        <v>229</v>
      </c>
      <c r="G185" s="47" t="s">
        <v>229</v>
      </c>
      <c r="H185" s="111" t="s">
        <v>51</v>
      </c>
      <c r="I185" s="89">
        <v>2</v>
      </c>
      <c r="J185" s="110" t="s">
        <v>125</v>
      </c>
      <c r="K185" s="103">
        <v>120</v>
      </c>
      <c r="L185" s="90">
        <f t="shared" si="64"/>
        <v>240</v>
      </c>
      <c r="M185" s="7">
        <f t="shared" si="44"/>
        <v>685082.20000000007</v>
      </c>
      <c r="N185" s="105" t="s">
        <v>565</v>
      </c>
      <c r="O185" s="88">
        <v>2</v>
      </c>
      <c r="P185" s="91">
        <f t="shared" si="65"/>
        <v>0</v>
      </c>
      <c r="Q185" s="92" t="s">
        <v>566</v>
      </c>
      <c r="R185" s="92"/>
    </row>
    <row r="186" spans="1:18" ht="43.5" x14ac:dyDescent="0.35">
      <c r="A186" s="94">
        <v>44539</v>
      </c>
      <c r="B186" s="73">
        <f t="shared" si="68"/>
        <v>12</v>
      </c>
      <c r="C186" s="75">
        <f t="shared" si="69"/>
        <v>2021</v>
      </c>
      <c r="D186" s="123" t="s">
        <v>567</v>
      </c>
      <c r="E186" s="116" t="s">
        <v>10</v>
      </c>
      <c r="F186" s="107" t="s">
        <v>568</v>
      </c>
      <c r="G186" s="107" t="s">
        <v>568</v>
      </c>
      <c r="H186" s="111" t="s">
        <v>51</v>
      </c>
      <c r="I186" s="89">
        <v>1</v>
      </c>
      <c r="J186" s="110" t="s">
        <v>1</v>
      </c>
      <c r="K186" s="103">
        <v>420</v>
      </c>
      <c r="L186" s="90">
        <f t="shared" si="64"/>
        <v>420</v>
      </c>
      <c r="M186" s="7">
        <f t="shared" si="44"/>
        <v>685502.20000000007</v>
      </c>
      <c r="N186" s="105" t="s">
        <v>565</v>
      </c>
      <c r="O186" s="88">
        <v>1</v>
      </c>
      <c r="P186" s="91">
        <f t="shared" si="65"/>
        <v>0</v>
      </c>
      <c r="Q186" s="92" t="s">
        <v>566</v>
      </c>
      <c r="R186" s="92"/>
    </row>
    <row r="187" spans="1:18" x14ac:dyDescent="0.35">
      <c r="A187" s="94">
        <v>44540</v>
      </c>
      <c r="B187" s="73">
        <f t="shared" si="68"/>
        <v>12</v>
      </c>
      <c r="C187" s="75">
        <f t="shared" si="69"/>
        <v>2021</v>
      </c>
      <c r="D187" s="123"/>
      <c r="E187" s="126" t="s">
        <v>158</v>
      </c>
      <c r="F187" s="88" t="s">
        <v>365</v>
      </c>
      <c r="G187" s="88" t="s">
        <v>365</v>
      </c>
      <c r="H187" s="88" t="s">
        <v>51</v>
      </c>
      <c r="I187" s="89">
        <v>1</v>
      </c>
      <c r="J187" s="88" t="s">
        <v>138</v>
      </c>
      <c r="K187" s="103">
        <v>32</v>
      </c>
      <c r="L187" s="90">
        <f t="shared" si="64"/>
        <v>32</v>
      </c>
      <c r="M187" s="7">
        <f t="shared" si="44"/>
        <v>685534.20000000007</v>
      </c>
      <c r="N187" s="127" t="s">
        <v>565</v>
      </c>
      <c r="O187" s="88">
        <f>1</f>
        <v>1</v>
      </c>
      <c r="P187" s="91">
        <f t="shared" si="65"/>
        <v>0</v>
      </c>
      <c r="Q187" s="92" t="s">
        <v>566</v>
      </c>
      <c r="R187" s="92"/>
    </row>
    <row r="188" spans="1:18" ht="43.5" x14ac:dyDescent="0.35">
      <c r="A188" s="94">
        <v>44540</v>
      </c>
      <c r="B188" s="73">
        <f t="shared" ref="B188:B190" si="71">MONTH(A188)</f>
        <v>12</v>
      </c>
      <c r="C188" s="75">
        <f t="shared" ref="C188:C190" si="72">YEAR(A188)</f>
        <v>2021</v>
      </c>
      <c r="D188" s="123" t="s">
        <v>648</v>
      </c>
      <c r="E188" s="125" t="s">
        <v>339</v>
      </c>
      <c r="F188" s="107" t="s">
        <v>579</v>
      </c>
      <c r="G188" s="107" t="s">
        <v>579</v>
      </c>
      <c r="H188" s="111" t="s">
        <v>47</v>
      </c>
      <c r="I188" s="89">
        <v>20</v>
      </c>
      <c r="J188" s="110" t="s">
        <v>1</v>
      </c>
      <c r="K188" s="103">
        <v>306</v>
      </c>
      <c r="L188" s="90">
        <f t="shared" si="64"/>
        <v>6120</v>
      </c>
      <c r="M188" s="7">
        <f t="shared" si="44"/>
        <v>691654.20000000007</v>
      </c>
      <c r="N188" s="127" t="s">
        <v>619</v>
      </c>
      <c r="O188" s="88">
        <f>7+8+2+1+2</f>
        <v>20</v>
      </c>
      <c r="P188" s="91">
        <f t="shared" si="65"/>
        <v>0</v>
      </c>
      <c r="Q188" s="92" t="s">
        <v>620</v>
      </c>
      <c r="R188" s="92"/>
    </row>
    <row r="189" spans="1:18" ht="29" x14ac:dyDescent="0.35">
      <c r="A189" s="94">
        <v>44540</v>
      </c>
      <c r="B189" s="73">
        <f t="shared" si="71"/>
        <v>12</v>
      </c>
      <c r="C189" s="75">
        <f t="shared" si="72"/>
        <v>2021</v>
      </c>
      <c r="D189" s="123" t="s">
        <v>577</v>
      </c>
      <c r="E189" s="126" t="s">
        <v>339</v>
      </c>
      <c r="F189" s="107" t="s">
        <v>356</v>
      </c>
      <c r="G189" s="107" t="s">
        <v>356</v>
      </c>
      <c r="H189" s="111" t="s">
        <v>47</v>
      </c>
      <c r="I189" s="89">
        <v>5</v>
      </c>
      <c r="J189" s="110" t="s">
        <v>0</v>
      </c>
      <c r="K189" s="103">
        <v>1980</v>
      </c>
      <c r="L189" s="90">
        <f t="shared" si="64"/>
        <v>9900</v>
      </c>
      <c r="M189" s="7">
        <f t="shared" si="44"/>
        <v>701554.20000000007</v>
      </c>
      <c r="N189" s="127" t="s">
        <v>609</v>
      </c>
      <c r="O189" s="88">
        <f>2+2+1</f>
        <v>5</v>
      </c>
      <c r="P189" s="91">
        <f t="shared" si="65"/>
        <v>0</v>
      </c>
      <c r="Q189" s="92" t="s">
        <v>610</v>
      </c>
      <c r="R189" s="92"/>
    </row>
    <row r="190" spans="1:18" ht="29" x14ac:dyDescent="0.35">
      <c r="A190" s="94">
        <v>44544</v>
      </c>
      <c r="B190" s="73">
        <f t="shared" si="71"/>
        <v>12</v>
      </c>
      <c r="C190" s="75">
        <f t="shared" si="72"/>
        <v>2021</v>
      </c>
      <c r="D190" s="123" t="s">
        <v>578</v>
      </c>
      <c r="E190" s="125" t="s">
        <v>347</v>
      </c>
      <c r="F190" s="59" t="s">
        <v>583</v>
      </c>
      <c r="G190" s="59" t="s">
        <v>583</v>
      </c>
      <c r="H190" s="111" t="s">
        <v>51</v>
      </c>
      <c r="I190" s="89">
        <v>10</v>
      </c>
      <c r="J190" s="110" t="s">
        <v>0</v>
      </c>
      <c r="K190" s="103">
        <v>1936</v>
      </c>
      <c r="L190" s="90">
        <f t="shared" si="64"/>
        <v>19360</v>
      </c>
      <c r="M190" s="7">
        <f t="shared" si="44"/>
        <v>720914.20000000007</v>
      </c>
      <c r="N190" s="127" t="s">
        <v>621</v>
      </c>
      <c r="O190" s="88">
        <f>4+1+3+2</f>
        <v>10</v>
      </c>
      <c r="P190" s="91">
        <f t="shared" si="65"/>
        <v>0</v>
      </c>
      <c r="Q190" s="92" t="s">
        <v>622</v>
      </c>
      <c r="R190" s="92"/>
    </row>
    <row r="191" spans="1:18" ht="29" x14ac:dyDescent="0.35">
      <c r="A191" s="94">
        <v>44545</v>
      </c>
      <c r="B191" s="73">
        <f t="shared" ref="B191" si="73">MONTH(A191)</f>
        <v>12</v>
      </c>
      <c r="C191" s="75">
        <f t="shared" ref="C191:C192" si="74">YEAR(A191)</f>
        <v>2021</v>
      </c>
      <c r="D191" s="123" t="s">
        <v>577</v>
      </c>
      <c r="E191" s="126" t="s">
        <v>339</v>
      </c>
      <c r="F191" s="59" t="s">
        <v>357</v>
      </c>
      <c r="G191" s="59" t="s">
        <v>357</v>
      </c>
      <c r="H191" s="111" t="s">
        <v>51</v>
      </c>
      <c r="I191" s="89">
        <v>1</v>
      </c>
      <c r="J191" s="110" t="s">
        <v>0</v>
      </c>
      <c r="K191" s="103">
        <v>1980</v>
      </c>
      <c r="L191" s="90">
        <f t="shared" si="64"/>
        <v>1980</v>
      </c>
      <c r="M191" s="7">
        <f t="shared" si="44"/>
        <v>722894.20000000007</v>
      </c>
      <c r="N191" s="105" t="s">
        <v>209</v>
      </c>
      <c r="O191" s="88">
        <v>1</v>
      </c>
      <c r="P191" s="91">
        <f t="shared" si="65"/>
        <v>0</v>
      </c>
      <c r="Q191" s="92" t="s">
        <v>586</v>
      </c>
      <c r="R191" s="92"/>
    </row>
    <row r="192" spans="1:18" x14ac:dyDescent="0.35">
      <c r="A192" s="94">
        <v>44545</v>
      </c>
      <c r="B192" s="73">
        <f t="shared" ref="B192" si="75">MONTH(A192)</f>
        <v>12</v>
      </c>
      <c r="C192" s="75">
        <f t="shared" si="74"/>
        <v>2021</v>
      </c>
      <c r="D192" s="123" t="s">
        <v>577</v>
      </c>
      <c r="E192" s="126" t="s">
        <v>339</v>
      </c>
      <c r="F192" s="107" t="s">
        <v>358</v>
      </c>
      <c r="G192" s="47" t="s">
        <v>358</v>
      </c>
      <c r="H192" s="111" t="s">
        <v>51</v>
      </c>
      <c r="I192" s="89">
        <v>4</v>
      </c>
      <c r="J192" s="110" t="s">
        <v>0</v>
      </c>
      <c r="K192" s="103">
        <v>1980</v>
      </c>
      <c r="L192" s="90">
        <f t="shared" si="64"/>
        <v>7920</v>
      </c>
      <c r="M192" s="7">
        <f t="shared" si="44"/>
        <v>730814.20000000007</v>
      </c>
      <c r="N192" s="105" t="s">
        <v>209</v>
      </c>
      <c r="O192" s="88">
        <v>4</v>
      </c>
      <c r="P192" s="91">
        <f t="shared" si="65"/>
        <v>0</v>
      </c>
      <c r="Q192" s="92" t="s">
        <v>587</v>
      </c>
      <c r="R192" s="92"/>
    </row>
    <row r="193" spans="1:18" x14ac:dyDescent="0.35">
      <c r="A193" s="106" t="s">
        <v>588</v>
      </c>
      <c r="B193" s="73">
        <f t="shared" ref="B193" si="76">MONTH(A193)</f>
        <v>12</v>
      </c>
      <c r="C193" s="75">
        <f t="shared" ref="C193" si="77">YEAR(A193)</f>
        <v>2021</v>
      </c>
      <c r="D193" s="123" t="s">
        <v>589</v>
      </c>
      <c r="E193" s="117" t="s">
        <v>10</v>
      </c>
      <c r="F193" s="107" t="s">
        <v>265</v>
      </c>
      <c r="G193" s="107" t="s">
        <v>265</v>
      </c>
      <c r="H193" s="111" t="s">
        <v>51</v>
      </c>
      <c r="I193" s="89">
        <v>1</v>
      </c>
      <c r="J193" s="110" t="s">
        <v>215</v>
      </c>
      <c r="K193" s="140">
        <v>345</v>
      </c>
      <c r="L193" s="90">
        <f t="shared" ref="L193:L212" si="78">SUM(I193*K193)</f>
        <v>345</v>
      </c>
      <c r="M193" s="7">
        <f t="shared" si="44"/>
        <v>731159.20000000007</v>
      </c>
      <c r="N193" s="105" t="s">
        <v>209</v>
      </c>
      <c r="O193" s="88">
        <v>1</v>
      </c>
      <c r="P193" s="91">
        <f t="shared" si="65"/>
        <v>0</v>
      </c>
      <c r="Q193" s="92" t="s">
        <v>590</v>
      </c>
      <c r="R193" s="92"/>
    </row>
    <row r="194" spans="1:18" ht="29" x14ac:dyDescent="0.35">
      <c r="A194" s="94">
        <v>44551</v>
      </c>
      <c r="B194" s="73">
        <f t="shared" ref="B194:B196" si="79">MONTH(A194)</f>
        <v>12</v>
      </c>
      <c r="C194" s="75">
        <f t="shared" ref="C194:C196" si="80">YEAR(A194)</f>
        <v>2021</v>
      </c>
      <c r="D194" s="123" t="s">
        <v>594</v>
      </c>
      <c r="E194" s="116" t="s">
        <v>502</v>
      </c>
      <c r="F194" s="107" t="s">
        <v>591</v>
      </c>
      <c r="G194" s="107" t="s">
        <v>591</v>
      </c>
      <c r="H194" s="111" t="s">
        <v>51</v>
      </c>
      <c r="I194" s="89">
        <v>8</v>
      </c>
      <c r="J194" s="110" t="s">
        <v>1</v>
      </c>
      <c r="K194" s="103">
        <v>362.6</v>
      </c>
      <c r="L194" s="90">
        <f t="shared" si="78"/>
        <v>2900.8</v>
      </c>
      <c r="M194" s="7">
        <f t="shared" si="44"/>
        <v>734060.00000000012</v>
      </c>
      <c r="N194" s="105" t="s">
        <v>597</v>
      </c>
      <c r="O194" s="88">
        <v>8</v>
      </c>
      <c r="P194" s="91">
        <f t="shared" si="65"/>
        <v>0</v>
      </c>
      <c r="Q194" s="92" t="s">
        <v>598</v>
      </c>
      <c r="R194" s="92"/>
    </row>
    <row r="195" spans="1:18" ht="29" x14ac:dyDescent="0.35">
      <c r="A195" s="94">
        <v>44551</v>
      </c>
      <c r="B195" s="73">
        <f t="shared" si="79"/>
        <v>12</v>
      </c>
      <c r="C195" s="75">
        <f t="shared" si="80"/>
        <v>2021</v>
      </c>
      <c r="D195" s="123" t="s">
        <v>594</v>
      </c>
      <c r="E195" s="116" t="s">
        <v>502</v>
      </c>
      <c r="F195" s="107" t="s">
        <v>592</v>
      </c>
      <c r="G195" s="107" t="s">
        <v>592</v>
      </c>
      <c r="H195" s="111" t="s">
        <v>51</v>
      </c>
      <c r="I195" s="89">
        <v>2</v>
      </c>
      <c r="J195" s="110" t="s">
        <v>1</v>
      </c>
      <c r="K195" s="103">
        <v>486</v>
      </c>
      <c r="L195" s="90">
        <f t="shared" si="78"/>
        <v>972</v>
      </c>
      <c r="M195" s="7">
        <f t="shared" si="44"/>
        <v>735032.00000000012</v>
      </c>
      <c r="N195" s="105" t="s">
        <v>704</v>
      </c>
      <c r="O195" s="88">
        <f>1+1</f>
        <v>2</v>
      </c>
      <c r="P195" s="91">
        <f t="shared" si="65"/>
        <v>0</v>
      </c>
      <c r="Q195" s="92" t="s">
        <v>705</v>
      </c>
      <c r="R195" s="92"/>
    </row>
    <row r="196" spans="1:18" ht="29" x14ac:dyDescent="0.35">
      <c r="A196" s="94">
        <v>44551</v>
      </c>
      <c r="B196" s="73">
        <f t="shared" si="79"/>
        <v>12</v>
      </c>
      <c r="C196" s="75">
        <f t="shared" si="80"/>
        <v>2021</v>
      </c>
      <c r="D196" s="123" t="s">
        <v>594</v>
      </c>
      <c r="E196" s="116" t="s">
        <v>502</v>
      </c>
      <c r="F196" s="107" t="s">
        <v>593</v>
      </c>
      <c r="G196" s="107" t="s">
        <v>593</v>
      </c>
      <c r="H196" s="111" t="s">
        <v>51</v>
      </c>
      <c r="I196" s="89">
        <v>4</v>
      </c>
      <c r="J196" s="110" t="s">
        <v>1</v>
      </c>
      <c r="K196" s="103">
        <v>595.20000000000005</v>
      </c>
      <c r="L196" s="90">
        <f t="shared" si="78"/>
        <v>2380.8000000000002</v>
      </c>
      <c r="M196" s="7">
        <f t="shared" si="44"/>
        <v>737412.80000000016</v>
      </c>
      <c r="N196" s="105" t="s">
        <v>599</v>
      </c>
      <c r="O196" s="88">
        <v>4</v>
      </c>
      <c r="P196" s="91">
        <f t="shared" si="65"/>
        <v>0</v>
      </c>
      <c r="Q196" s="92" t="s">
        <v>600</v>
      </c>
      <c r="R196" s="92"/>
    </row>
    <row r="197" spans="1:18" ht="29" x14ac:dyDescent="0.35">
      <c r="A197" s="94">
        <v>44554</v>
      </c>
      <c r="B197" s="73">
        <f t="shared" ref="B197:B198" si="81">MONTH(A197)</f>
        <v>12</v>
      </c>
      <c r="C197" s="75">
        <f t="shared" ref="C197:C198" si="82">YEAR(A197)</f>
        <v>2021</v>
      </c>
      <c r="D197" s="123" t="s">
        <v>603</v>
      </c>
      <c r="E197" s="116" t="s">
        <v>502</v>
      </c>
      <c r="F197" s="107" t="s">
        <v>591</v>
      </c>
      <c r="G197" s="107" t="s">
        <v>591</v>
      </c>
      <c r="H197" s="111" t="s">
        <v>51</v>
      </c>
      <c r="I197" s="89">
        <v>2</v>
      </c>
      <c r="J197" s="110" t="s">
        <v>1</v>
      </c>
      <c r="K197" s="103">
        <v>362.6</v>
      </c>
      <c r="L197" s="90">
        <f t="shared" si="78"/>
        <v>725.2</v>
      </c>
      <c r="M197" s="7">
        <f t="shared" si="44"/>
        <v>738138.00000000012</v>
      </c>
      <c r="N197" s="105" t="s">
        <v>605</v>
      </c>
      <c r="O197" s="88">
        <v>2</v>
      </c>
      <c r="P197" s="91">
        <f t="shared" si="65"/>
        <v>0</v>
      </c>
      <c r="Q197" s="92" t="s">
        <v>606</v>
      </c>
      <c r="R197" s="92"/>
    </row>
    <row r="198" spans="1:18" ht="29" x14ac:dyDescent="0.35">
      <c r="A198" s="94">
        <v>44557</v>
      </c>
      <c r="B198" s="73">
        <f t="shared" si="81"/>
        <v>12</v>
      </c>
      <c r="C198" s="75">
        <f t="shared" si="82"/>
        <v>2021</v>
      </c>
      <c r="D198" s="123" t="s">
        <v>604</v>
      </c>
      <c r="E198" s="116" t="s">
        <v>502</v>
      </c>
      <c r="F198" s="107" t="s">
        <v>591</v>
      </c>
      <c r="G198" s="107" t="s">
        <v>591</v>
      </c>
      <c r="H198" s="111" t="s">
        <v>51</v>
      </c>
      <c r="I198" s="89">
        <v>2</v>
      </c>
      <c r="J198" s="110" t="s">
        <v>1</v>
      </c>
      <c r="K198" s="103">
        <v>362.6</v>
      </c>
      <c r="L198" s="90">
        <f t="shared" si="78"/>
        <v>725.2</v>
      </c>
      <c r="M198" s="7">
        <f t="shared" si="44"/>
        <v>738863.20000000007</v>
      </c>
      <c r="N198" s="105" t="s">
        <v>607</v>
      </c>
      <c r="O198" s="88">
        <v>2</v>
      </c>
      <c r="P198" s="91">
        <f t="shared" si="65"/>
        <v>0</v>
      </c>
      <c r="Q198" s="92" t="s">
        <v>608</v>
      </c>
      <c r="R198" s="92"/>
    </row>
    <row r="199" spans="1:18" ht="29" x14ac:dyDescent="0.35">
      <c r="A199" s="94">
        <v>44557</v>
      </c>
      <c r="B199" s="73">
        <f t="shared" ref="B199" si="83">MONTH(A199)</f>
        <v>12</v>
      </c>
      <c r="C199" s="75">
        <f t="shared" ref="C199" si="84">YEAR(A199)</f>
        <v>2021</v>
      </c>
      <c r="D199" s="123" t="s">
        <v>649</v>
      </c>
      <c r="E199" s="117" t="s">
        <v>10</v>
      </c>
      <c r="F199" s="107" t="s">
        <v>614</v>
      </c>
      <c r="G199" s="107" t="s">
        <v>614</v>
      </c>
      <c r="H199" s="111" t="s">
        <v>47</v>
      </c>
      <c r="I199" s="89">
        <v>20</v>
      </c>
      <c r="J199" s="110" t="s">
        <v>1</v>
      </c>
      <c r="K199" s="103">
        <v>264</v>
      </c>
      <c r="L199" s="90">
        <f t="shared" si="78"/>
        <v>5280</v>
      </c>
      <c r="M199" s="7">
        <f t="shared" si="44"/>
        <v>744143.20000000007</v>
      </c>
      <c r="N199" s="105" t="s">
        <v>611</v>
      </c>
      <c r="O199" s="88">
        <f>5+15</f>
        <v>20</v>
      </c>
      <c r="P199" s="91">
        <f t="shared" si="65"/>
        <v>0</v>
      </c>
      <c r="Q199" s="92" t="s">
        <v>612</v>
      </c>
      <c r="R199" s="92"/>
    </row>
    <row r="200" spans="1:18" ht="87" x14ac:dyDescent="0.35">
      <c r="A200" s="94">
        <v>44557</v>
      </c>
      <c r="B200" s="73">
        <f t="shared" ref="B200:B210" si="85">MONTH(A200)</f>
        <v>12</v>
      </c>
      <c r="C200" s="75">
        <f t="shared" ref="C200:C210" si="86">YEAR(A200)</f>
        <v>2021</v>
      </c>
      <c r="D200" s="123" t="s">
        <v>649</v>
      </c>
      <c r="E200" s="117" t="s">
        <v>10</v>
      </c>
      <c r="F200" s="107" t="s">
        <v>613</v>
      </c>
      <c r="G200" s="107" t="s">
        <v>613</v>
      </c>
      <c r="H200" s="111" t="s">
        <v>47</v>
      </c>
      <c r="I200" s="89">
        <v>20</v>
      </c>
      <c r="J200" s="110" t="s">
        <v>1</v>
      </c>
      <c r="K200" s="103">
        <v>528</v>
      </c>
      <c r="L200" s="90">
        <f t="shared" si="78"/>
        <v>10560</v>
      </c>
      <c r="M200" s="7">
        <f t="shared" si="44"/>
        <v>754703.20000000007</v>
      </c>
      <c r="N200" s="127" t="s">
        <v>734</v>
      </c>
      <c r="O200" s="88">
        <f>11+2+4+1+1+1</f>
        <v>20</v>
      </c>
      <c r="P200" s="91">
        <f t="shared" si="65"/>
        <v>0</v>
      </c>
      <c r="Q200" s="92" t="s">
        <v>735</v>
      </c>
      <c r="R200" s="92"/>
    </row>
    <row r="201" spans="1:18" ht="43.5" x14ac:dyDescent="0.35">
      <c r="A201" s="94">
        <v>44561</v>
      </c>
      <c r="B201" s="73">
        <f t="shared" si="85"/>
        <v>12</v>
      </c>
      <c r="C201" s="75">
        <f t="shared" si="86"/>
        <v>2021</v>
      </c>
      <c r="D201" s="123"/>
      <c r="E201" s="117" t="s">
        <v>10</v>
      </c>
      <c r="F201" s="107" t="s">
        <v>614</v>
      </c>
      <c r="G201" s="107" t="s">
        <v>614</v>
      </c>
      <c r="H201" s="111" t="s">
        <v>47</v>
      </c>
      <c r="I201" s="89">
        <v>20</v>
      </c>
      <c r="J201" s="110" t="s">
        <v>1</v>
      </c>
      <c r="K201" s="103">
        <v>279</v>
      </c>
      <c r="L201" s="90">
        <f t="shared" si="78"/>
        <v>5580</v>
      </c>
      <c r="M201" s="7">
        <f t="shared" si="44"/>
        <v>760283.20000000007</v>
      </c>
      <c r="N201" s="127" t="s">
        <v>706</v>
      </c>
      <c r="O201" s="88">
        <f>4+3+7+6</f>
        <v>20</v>
      </c>
      <c r="P201" s="91">
        <f t="shared" si="65"/>
        <v>0</v>
      </c>
      <c r="Q201" s="92" t="s">
        <v>707</v>
      </c>
      <c r="R201" s="92"/>
    </row>
    <row r="202" spans="1:18" ht="29" x14ac:dyDescent="0.35">
      <c r="A202" s="94">
        <v>44571</v>
      </c>
      <c r="B202" s="73">
        <f t="shared" si="85"/>
        <v>1</v>
      </c>
      <c r="C202" s="75">
        <f t="shared" si="86"/>
        <v>2022</v>
      </c>
      <c r="D202" s="123" t="s">
        <v>651</v>
      </c>
      <c r="E202" s="125" t="s">
        <v>347</v>
      </c>
      <c r="F202" s="59" t="s">
        <v>583</v>
      </c>
      <c r="G202" s="59" t="s">
        <v>583</v>
      </c>
      <c r="H202" s="111" t="s">
        <v>51</v>
      </c>
      <c r="I202" s="89">
        <v>4</v>
      </c>
      <c r="J202" s="110" t="s">
        <v>0</v>
      </c>
      <c r="K202" s="103">
        <v>1936</v>
      </c>
      <c r="L202" s="90">
        <f t="shared" si="78"/>
        <v>7744</v>
      </c>
      <c r="M202" s="7">
        <f t="shared" si="44"/>
        <v>768027.20000000007</v>
      </c>
      <c r="N202" s="105" t="s">
        <v>662</v>
      </c>
      <c r="O202" s="88">
        <f>3+1</f>
        <v>4</v>
      </c>
      <c r="P202" s="91">
        <f t="shared" si="65"/>
        <v>0</v>
      </c>
      <c r="Q202" s="92" t="s">
        <v>663</v>
      </c>
      <c r="R202" s="92"/>
    </row>
    <row r="203" spans="1:18" ht="29" x14ac:dyDescent="0.35">
      <c r="A203" s="94">
        <v>44571</v>
      </c>
      <c r="B203" s="73">
        <f t="shared" si="85"/>
        <v>1</v>
      </c>
      <c r="C203" s="75">
        <f t="shared" si="86"/>
        <v>2022</v>
      </c>
      <c r="D203" s="123" t="s">
        <v>651</v>
      </c>
      <c r="E203" s="125" t="s">
        <v>347</v>
      </c>
      <c r="F203" s="107" t="s">
        <v>489</v>
      </c>
      <c r="G203" s="107" t="s">
        <v>489</v>
      </c>
      <c r="H203" s="111" t="s">
        <v>51</v>
      </c>
      <c r="I203" s="89">
        <v>6</v>
      </c>
      <c r="J203" s="110" t="s">
        <v>0</v>
      </c>
      <c r="K203" s="103">
        <v>1936</v>
      </c>
      <c r="L203" s="90">
        <f t="shared" si="78"/>
        <v>11616</v>
      </c>
      <c r="M203" s="7">
        <f t="shared" si="44"/>
        <v>779643.20000000007</v>
      </c>
      <c r="N203" s="127" t="s">
        <v>636</v>
      </c>
      <c r="O203" s="88">
        <f>4+2</f>
        <v>6</v>
      </c>
      <c r="P203" s="91">
        <f t="shared" si="65"/>
        <v>0</v>
      </c>
      <c r="Q203" s="92" t="s">
        <v>635</v>
      </c>
      <c r="R203" s="92"/>
    </row>
    <row r="204" spans="1:18" ht="29" x14ac:dyDescent="0.35">
      <c r="A204" s="94">
        <v>44571</v>
      </c>
      <c r="B204" s="73">
        <f t="shared" si="85"/>
        <v>1</v>
      </c>
      <c r="C204" s="75">
        <f t="shared" si="86"/>
        <v>2022</v>
      </c>
      <c r="D204" s="123" t="s">
        <v>651</v>
      </c>
      <c r="E204" s="125" t="s">
        <v>347</v>
      </c>
      <c r="F204" s="107" t="s">
        <v>624</v>
      </c>
      <c r="G204" s="107" t="s">
        <v>624</v>
      </c>
      <c r="H204" s="111" t="s">
        <v>51</v>
      </c>
      <c r="I204" s="89">
        <v>20</v>
      </c>
      <c r="J204" s="110" t="s">
        <v>1</v>
      </c>
      <c r="K204" s="103">
        <v>270</v>
      </c>
      <c r="L204" s="90">
        <f t="shared" si="78"/>
        <v>5400</v>
      </c>
      <c r="M204" s="7">
        <f t="shared" si="44"/>
        <v>785043.20000000007</v>
      </c>
      <c r="N204" s="105" t="s">
        <v>623</v>
      </c>
      <c r="O204" s="88">
        <v>20</v>
      </c>
      <c r="P204" s="91">
        <f t="shared" si="65"/>
        <v>0</v>
      </c>
      <c r="Q204" s="92" t="s">
        <v>629</v>
      </c>
      <c r="R204" s="92"/>
    </row>
    <row r="205" spans="1:18" ht="29" x14ac:dyDescent="0.35">
      <c r="A205" s="94">
        <v>44571</v>
      </c>
      <c r="B205" s="73">
        <f t="shared" si="85"/>
        <v>1</v>
      </c>
      <c r="C205" s="75">
        <f t="shared" si="86"/>
        <v>2022</v>
      </c>
      <c r="D205" s="123" t="s">
        <v>651</v>
      </c>
      <c r="E205" s="125" t="s">
        <v>347</v>
      </c>
      <c r="F205" s="107" t="s">
        <v>625</v>
      </c>
      <c r="G205" s="107" t="s">
        <v>625</v>
      </c>
      <c r="H205" s="111" t="s">
        <v>51</v>
      </c>
      <c r="I205" s="89">
        <v>2</v>
      </c>
      <c r="J205" s="110" t="s">
        <v>1</v>
      </c>
      <c r="K205" s="103">
        <v>270</v>
      </c>
      <c r="L205" s="90">
        <f t="shared" si="78"/>
        <v>540</v>
      </c>
      <c r="M205" s="7">
        <f t="shared" si="44"/>
        <v>785583.20000000007</v>
      </c>
      <c r="N205" s="105" t="s">
        <v>646</v>
      </c>
      <c r="O205" s="88">
        <f>1+1</f>
        <v>2</v>
      </c>
      <c r="P205" s="91">
        <f t="shared" si="65"/>
        <v>0</v>
      </c>
      <c r="Q205" s="92" t="s">
        <v>647</v>
      </c>
      <c r="R205" s="92"/>
    </row>
    <row r="206" spans="1:18" ht="29" x14ac:dyDescent="0.35">
      <c r="A206" s="94">
        <v>44575</v>
      </c>
      <c r="B206" s="73">
        <f t="shared" si="85"/>
        <v>1</v>
      </c>
      <c r="C206" s="75">
        <f t="shared" si="86"/>
        <v>2022</v>
      </c>
      <c r="D206" s="123" t="s">
        <v>652</v>
      </c>
      <c r="E206" s="125" t="s">
        <v>347</v>
      </c>
      <c r="F206" s="59" t="s">
        <v>583</v>
      </c>
      <c r="G206" s="59" t="s">
        <v>583</v>
      </c>
      <c r="H206" s="111" t="s">
        <v>51</v>
      </c>
      <c r="I206" s="89">
        <v>8</v>
      </c>
      <c r="J206" s="110" t="s">
        <v>0</v>
      </c>
      <c r="K206" s="103">
        <v>1936</v>
      </c>
      <c r="L206" s="90">
        <f t="shared" si="78"/>
        <v>15488</v>
      </c>
      <c r="M206" s="7">
        <f t="shared" si="44"/>
        <v>801071.20000000007</v>
      </c>
      <c r="N206" s="105" t="s">
        <v>637</v>
      </c>
      <c r="O206" s="88">
        <v>8</v>
      </c>
      <c r="P206" s="91">
        <f t="shared" si="65"/>
        <v>0</v>
      </c>
      <c r="Q206" s="92" t="s">
        <v>638</v>
      </c>
      <c r="R206" s="92"/>
    </row>
    <row r="207" spans="1:18" x14ac:dyDescent="0.35">
      <c r="A207" s="94">
        <v>44575</v>
      </c>
      <c r="B207" s="73">
        <f t="shared" si="85"/>
        <v>1</v>
      </c>
      <c r="C207" s="75">
        <f t="shared" si="86"/>
        <v>2022</v>
      </c>
      <c r="D207" s="123" t="s">
        <v>652</v>
      </c>
      <c r="E207" s="125" t="s">
        <v>347</v>
      </c>
      <c r="F207" s="107" t="s">
        <v>489</v>
      </c>
      <c r="G207" s="107" t="s">
        <v>489</v>
      </c>
      <c r="H207" s="111" t="s">
        <v>51</v>
      </c>
      <c r="I207" s="89">
        <v>2</v>
      </c>
      <c r="J207" s="110" t="s">
        <v>0</v>
      </c>
      <c r="K207" s="103">
        <v>1936</v>
      </c>
      <c r="L207" s="90">
        <f t="shared" si="78"/>
        <v>3872</v>
      </c>
      <c r="M207" s="7">
        <f t="shared" si="44"/>
        <v>804943.20000000007</v>
      </c>
      <c r="N207" s="105" t="s">
        <v>639</v>
      </c>
      <c r="O207" s="88">
        <v>2</v>
      </c>
      <c r="P207" s="91">
        <f t="shared" si="65"/>
        <v>0</v>
      </c>
      <c r="Q207" s="92" t="s">
        <v>640</v>
      </c>
      <c r="R207" s="92"/>
    </row>
    <row r="208" spans="1:18" ht="87" x14ac:dyDescent="0.35">
      <c r="A208" s="94">
        <v>44575</v>
      </c>
      <c r="B208" s="73">
        <f t="shared" si="85"/>
        <v>1</v>
      </c>
      <c r="C208" s="75">
        <f t="shared" si="86"/>
        <v>2022</v>
      </c>
      <c r="D208" s="123" t="s">
        <v>652</v>
      </c>
      <c r="E208" s="125" t="s">
        <v>347</v>
      </c>
      <c r="F208" s="107" t="s">
        <v>634</v>
      </c>
      <c r="G208" s="107" t="s">
        <v>634</v>
      </c>
      <c r="H208" s="111" t="s">
        <v>51</v>
      </c>
      <c r="I208" s="89">
        <v>20</v>
      </c>
      <c r="J208" s="110" t="s">
        <v>1</v>
      </c>
      <c r="K208" s="103">
        <v>283.5</v>
      </c>
      <c r="L208" s="90">
        <f t="shared" si="78"/>
        <v>5670</v>
      </c>
      <c r="M208" s="7">
        <f t="shared" si="44"/>
        <v>810613.20000000007</v>
      </c>
      <c r="N208" s="127" t="s">
        <v>740</v>
      </c>
      <c r="O208" s="88">
        <f>11+5+1+1+1+1</f>
        <v>20</v>
      </c>
      <c r="P208" s="91">
        <f t="shared" si="65"/>
        <v>0</v>
      </c>
      <c r="Q208" s="92" t="s">
        <v>741</v>
      </c>
      <c r="R208" s="92"/>
    </row>
    <row r="209" spans="1:18" ht="43.5" x14ac:dyDescent="0.35">
      <c r="A209" s="94">
        <v>44567</v>
      </c>
      <c r="B209" s="73">
        <f t="shared" si="85"/>
        <v>1</v>
      </c>
      <c r="C209" s="75">
        <f t="shared" si="86"/>
        <v>2022</v>
      </c>
      <c r="D209" s="123" t="s">
        <v>650</v>
      </c>
      <c r="E209" s="125" t="s">
        <v>307</v>
      </c>
      <c r="F209" s="59" t="s">
        <v>645</v>
      </c>
      <c r="G209" s="59" t="s">
        <v>645</v>
      </c>
      <c r="H209" s="111" t="s">
        <v>51</v>
      </c>
      <c r="I209" s="89">
        <v>4</v>
      </c>
      <c r="J209" s="110" t="s">
        <v>125</v>
      </c>
      <c r="K209" s="103">
        <v>305</v>
      </c>
      <c r="L209" s="90">
        <f t="shared" si="78"/>
        <v>1220</v>
      </c>
      <c r="M209" s="7">
        <f t="shared" si="44"/>
        <v>811833.20000000007</v>
      </c>
      <c r="N209" s="127" t="s">
        <v>712</v>
      </c>
      <c r="O209" s="88">
        <f>1+2+1</f>
        <v>4</v>
      </c>
      <c r="P209" s="91">
        <f t="shared" si="65"/>
        <v>0</v>
      </c>
      <c r="Q209" s="92" t="s">
        <v>713</v>
      </c>
      <c r="R209" s="92"/>
    </row>
    <row r="210" spans="1:18" ht="43.5" x14ac:dyDescent="0.35">
      <c r="A210" s="94">
        <v>44575</v>
      </c>
      <c r="B210" s="73">
        <f t="shared" si="85"/>
        <v>1</v>
      </c>
      <c r="C210" s="75">
        <f t="shared" si="86"/>
        <v>2022</v>
      </c>
      <c r="D210" s="123" t="s">
        <v>653</v>
      </c>
      <c r="E210" s="125" t="s">
        <v>347</v>
      </c>
      <c r="F210" s="107" t="s">
        <v>625</v>
      </c>
      <c r="G210" s="107" t="s">
        <v>625</v>
      </c>
      <c r="H210" s="111" t="s">
        <v>51</v>
      </c>
      <c r="I210" s="89">
        <v>6</v>
      </c>
      <c r="J210" s="110" t="s">
        <v>1</v>
      </c>
      <c r="K210" s="103">
        <v>270</v>
      </c>
      <c r="L210" s="90">
        <f t="shared" si="78"/>
        <v>1620</v>
      </c>
      <c r="M210" s="7">
        <f t="shared" si="44"/>
        <v>813453.20000000007</v>
      </c>
      <c r="N210" s="127" t="s">
        <v>670</v>
      </c>
      <c r="O210" s="88">
        <f>4+1+1</f>
        <v>6</v>
      </c>
      <c r="P210" s="91">
        <f t="shared" si="65"/>
        <v>0</v>
      </c>
      <c r="Q210" s="108" t="s">
        <v>671</v>
      </c>
      <c r="R210" s="92"/>
    </row>
    <row r="211" spans="1:18" ht="29" x14ac:dyDescent="0.35">
      <c r="A211" s="94">
        <v>44575</v>
      </c>
      <c r="B211" s="73">
        <f t="shared" ref="B211:B220" si="87">MONTH(A211)</f>
        <v>1</v>
      </c>
      <c r="C211" s="75">
        <f t="shared" ref="C211:C220" si="88">YEAR(A211)</f>
        <v>2022</v>
      </c>
      <c r="D211" s="123" t="s">
        <v>653</v>
      </c>
      <c r="E211" s="125" t="s">
        <v>347</v>
      </c>
      <c r="F211" s="107" t="s">
        <v>624</v>
      </c>
      <c r="G211" s="107" t="s">
        <v>624</v>
      </c>
      <c r="H211" s="111" t="s">
        <v>51</v>
      </c>
      <c r="I211" s="89">
        <v>4</v>
      </c>
      <c r="J211" s="110" t="s">
        <v>1</v>
      </c>
      <c r="K211" s="103">
        <v>270</v>
      </c>
      <c r="L211" s="90">
        <f t="shared" si="78"/>
        <v>1080</v>
      </c>
      <c r="M211" s="7">
        <f t="shared" si="44"/>
        <v>814533.20000000007</v>
      </c>
      <c r="N211" s="105" t="s">
        <v>683</v>
      </c>
      <c r="O211" s="88">
        <f>4</f>
        <v>4</v>
      </c>
      <c r="P211" s="91">
        <f t="shared" si="65"/>
        <v>0</v>
      </c>
      <c r="Q211" s="92" t="s">
        <v>684</v>
      </c>
      <c r="R211" s="92"/>
    </row>
    <row r="212" spans="1:18" ht="29" x14ac:dyDescent="0.35">
      <c r="A212" s="94">
        <v>44578</v>
      </c>
      <c r="B212" s="73">
        <f t="shared" si="87"/>
        <v>1</v>
      </c>
      <c r="C212" s="75">
        <f t="shared" si="88"/>
        <v>2022</v>
      </c>
      <c r="D212" s="123" t="s">
        <v>654</v>
      </c>
      <c r="E212" s="125" t="s">
        <v>347</v>
      </c>
      <c r="F212" s="59" t="s">
        <v>583</v>
      </c>
      <c r="G212" s="59" t="s">
        <v>583</v>
      </c>
      <c r="H212" s="111" t="s">
        <v>51</v>
      </c>
      <c r="I212" s="89">
        <v>4</v>
      </c>
      <c r="J212" s="110" t="s">
        <v>0</v>
      </c>
      <c r="K212" s="103">
        <v>1936</v>
      </c>
      <c r="L212" s="90">
        <f t="shared" si="78"/>
        <v>7744</v>
      </c>
      <c r="M212" s="7">
        <f t="shared" si="44"/>
        <v>822277.20000000007</v>
      </c>
      <c r="N212" s="105" t="s">
        <v>694</v>
      </c>
      <c r="O212" s="88">
        <f>2+2</f>
        <v>4</v>
      </c>
      <c r="P212" s="91">
        <f t="shared" si="65"/>
        <v>0</v>
      </c>
      <c r="Q212" s="92" t="s">
        <v>695</v>
      </c>
      <c r="R212" s="92"/>
    </row>
    <row r="213" spans="1:18" ht="29" x14ac:dyDescent="0.35">
      <c r="A213" s="94">
        <v>44578</v>
      </c>
      <c r="B213" s="73">
        <f t="shared" si="87"/>
        <v>1</v>
      </c>
      <c r="C213" s="75">
        <f t="shared" si="88"/>
        <v>2022</v>
      </c>
      <c r="D213" s="123" t="s">
        <v>654</v>
      </c>
      <c r="E213" s="125" t="s">
        <v>347</v>
      </c>
      <c r="F213" s="107" t="s">
        <v>655</v>
      </c>
      <c r="G213" s="107" t="s">
        <v>655</v>
      </c>
      <c r="H213" s="111" t="s">
        <v>51</v>
      </c>
      <c r="I213" s="89">
        <v>1</v>
      </c>
      <c r="J213" s="110" t="s">
        <v>0</v>
      </c>
      <c r="K213" s="103">
        <v>1936</v>
      </c>
      <c r="L213" s="90">
        <f t="shared" ref="L213:L235" si="89">SUM(I213*K213)</f>
        <v>1936</v>
      </c>
      <c r="M213" s="7">
        <f t="shared" si="44"/>
        <v>824213.20000000007</v>
      </c>
      <c r="N213" s="105" t="s">
        <v>659</v>
      </c>
      <c r="O213" s="88">
        <v>1</v>
      </c>
      <c r="P213" s="91">
        <f t="shared" si="65"/>
        <v>0</v>
      </c>
      <c r="Q213" s="108" t="s">
        <v>660</v>
      </c>
      <c r="R213" s="92"/>
    </row>
    <row r="214" spans="1:18" ht="29" x14ac:dyDescent="0.35">
      <c r="A214" s="94">
        <v>44578</v>
      </c>
      <c r="B214" s="73">
        <f t="shared" si="87"/>
        <v>1</v>
      </c>
      <c r="C214" s="75">
        <f t="shared" si="88"/>
        <v>2022</v>
      </c>
      <c r="D214" s="123" t="s">
        <v>654</v>
      </c>
      <c r="E214" s="125" t="s">
        <v>347</v>
      </c>
      <c r="F214" s="102" t="s">
        <v>687</v>
      </c>
      <c r="G214" s="102" t="s">
        <v>687</v>
      </c>
      <c r="H214" s="111" t="s">
        <v>51</v>
      </c>
      <c r="I214" s="89">
        <v>12</v>
      </c>
      <c r="J214" s="110" t="s">
        <v>125</v>
      </c>
      <c r="K214" s="103">
        <v>46</v>
      </c>
      <c r="L214" s="90">
        <f t="shared" si="89"/>
        <v>552</v>
      </c>
      <c r="M214" s="7">
        <f t="shared" ref="M214:M235" si="90">SUM(M213+L214)</f>
        <v>824765.20000000007</v>
      </c>
      <c r="N214" s="105" t="s">
        <v>685</v>
      </c>
      <c r="O214" s="88">
        <v>3</v>
      </c>
      <c r="P214" s="91">
        <f t="shared" si="65"/>
        <v>9</v>
      </c>
      <c r="Q214" s="92" t="s">
        <v>686</v>
      </c>
      <c r="R214" s="92"/>
    </row>
    <row r="215" spans="1:18" ht="130.5" x14ac:dyDescent="0.35">
      <c r="A215" s="94">
        <v>44578</v>
      </c>
      <c r="B215" s="73">
        <f t="shared" si="87"/>
        <v>1</v>
      </c>
      <c r="C215" s="75">
        <f t="shared" si="88"/>
        <v>2022</v>
      </c>
      <c r="D215" s="123"/>
      <c r="E215" s="125" t="s">
        <v>10</v>
      </c>
      <c r="F215" s="102" t="s">
        <v>28</v>
      </c>
      <c r="G215" s="102" t="s">
        <v>28</v>
      </c>
      <c r="H215" s="111" t="s">
        <v>47</v>
      </c>
      <c r="I215" s="89">
        <v>40</v>
      </c>
      <c r="J215" s="110" t="s">
        <v>217</v>
      </c>
      <c r="K215" s="103">
        <v>32.5</v>
      </c>
      <c r="L215" s="90">
        <f t="shared" si="89"/>
        <v>1300</v>
      </c>
      <c r="M215" s="7">
        <f t="shared" si="90"/>
        <v>826065.20000000007</v>
      </c>
      <c r="N215" s="127" t="s">
        <v>781</v>
      </c>
      <c r="O215" s="88">
        <f>1+10+1+5+10+2+4+2+2+3</f>
        <v>40</v>
      </c>
      <c r="P215" s="91">
        <f t="shared" si="65"/>
        <v>0</v>
      </c>
      <c r="Q215" s="92" t="s">
        <v>772</v>
      </c>
      <c r="R215" s="92"/>
    </row>
    <row r="216" spans="1:18" ht="72.5" x14ac:dyDescent="0.35">
      <c r="A216" s="94">
        <v>44578</v>
      </c>
      <c r="B216" s="73">
        <f t="shared" ref="B216:B219" si="91">MONTH(A216)</f>
        <v>1</v>
      </c>
      <c r="C216" s="75">
        <f t="shared" ref="C216:C219" si="92">YEAR(A216)</f>
        <v>2022</v>
      </c>
      <c r="D216" s="123"/>
      <c r="E216" s="125" t="s">
        <v>10</v>
      </c>
      <c r="F216" s="107" t="s">
        <v>29</v>
      </c>
      <c r="G216" s="107" t="s">
        <v>29</v>
      </c>
      <c r="H216" s="111" t="s">
        <v>47</v>
      </c>
      <c r="I216" s="89">
        <v>15</v>
      </c>
      <c r="J216" s="110" t="s">
        <v>0</v>
      </c>
      <c r="K216" s="103">
        <v>1815</v>
      </c>
      <c r="L216" s="90">
        <f t="shared" si="89"/>
        <v>27225</v>
      </c>
      <c r="M216" s="7">
        <f t="shared" si="90"/>
        <v>853290.20000000007</v>
      </c>
      <c r="N216" s="127" t="s">
        <v>666</v>
      </c>
      <c r="O216" s="88">
        <f>3+1+6+1+4</f>
        <v>15</v>
      </c>
      <c r="P216" s="91">
        <f t="shared" si="65"/>
        <v>0</v>
      </c>
      <c r="Q216" s="92" t="s">
        <v>667</v>
      </c>
      <c r="R216" s="92"/>
    </row>
    <row r="217" spans="1:18" x14ac:dyDescent="0.35">
      <c r="A217" s="94">
        <v>44578</v>
      </c>
      <c r="B217" s="73">
        <f t="shared" si="91"/>
        <v>1</v>
      </c>
      <c r="C217" s="75">
        <f t="shared" si="92"/>
        <v>2022</v>
      </c>
      <c r="D217" s="123"/>
      <c r="E217" s="125" t="s">
        <v>10</v>
      </c>
      <c r="F217" s="102" t="s">
        <v>265</v>
      </c>
      <c r="G217" s="102" t="s">
        <v>265</v>
      </c>
      <c r="H217" s="111" t="s">
        <v>47</v>
      </c>
      <c r="I217" s="89">
        <v>1</v>
      </c>
      <c r="J217" s="110" t="s">
        <v>215</v>
      </c>
      <c r="K217" s="103">
        <v>345</v>
      </c>
      <c r="L217" s="90">
        <f t="shared" si="89"/>
        <v>345</v>
      </c>
      <c r="M217" s="7">
        <f t="shared" si="90"/>
        <v>853635.20000000007</v>
      </c>
      <c r="N217" s="105" t="s">
        <v>659</v>
      </c>
      <c r="O217" s="88">
        <v>1</v>
      </c>
      <c r="P217" s="91">
        <f t="shared" si="65"/>
        <v>0</v>
      </c>
      <c r="Q217" s="108" t="s">
        <v>661</v>
      </c>
      <c r="R217" s="92"/>
    </row>
    <row r="218" spans="1:18" ht="101.5" x14ac:dyDescent="0.35">
      <c r="A218" s="94">
        <v>44578</v>
      </c>
      <c r="B218" s="73">
        <f t="shared" si="91"/>
        <v>1</v>
      </c>
      <c r="C218" s="75">
        <f t="shared" si="92"/>
        <v>2022</v>
      </c>
      <c r="D218" s="123"/>
      <c r="E218" s="125" t="s">
        <v>10</v>
      </c>
      <c r="F218" s="102" t="s">
        <v>405</v>
      </c>
      <c r="G218" s="102" t="s">
        <v>405</v>
      </c>
      <c r="H218" s="111" t="s">
        <v>47</v>
      </c>
      <c r="I218" s="89">
        <v>20</v>
      </c>
      <c r="J218" s="110" t="s">
        <v>25</v>
      </c>
      <c r="K218" s="103">
        <v>65</v>
      </c>
      <c r="L218" s="90">
        <f t="shared" si="89"/>
        <v>1300</v>
      </c>
      <c r="M218" s="7">
        <f t="shared" si="90"/>
        <v>854935.20000000007</v>
      </c>
      <c r="N218" s="127" t="s">
        <v>754</v>
      </c>
      <c r="O218" s="88">
        <f>3+4+2+4+1+4+2</f>
        <v>20</v>
      </c>
      <c r="P218" s="91">
        <f t="shared" si="65"/>
        <v>0</v>
      </c>
      <c r="Q218" s="92" t="s">
        <v>755</v>
      </c>
      <c r="R218" s="92"/>
    </row>
    <row r="219" spans="1:18" ht="43.5" x14ac:dyDescent="0.35">
      <c r="A219" s="94">
        <v>44578</v>
      </c>
      <c r="B219" s="73">
        <f t="shared" si="91"/>
        <v>1</v>
      </c>
      <c r="C219" s="75">
        <f t="shared" si="92"/>
        <v>2022</v>
      </c>
      <c r="D219" s="123"/>
      <c r="E219" s="125" t="s">
        <v>10</v>
      </c>
      <c r="F219" s="107" t="s">
        <v>29</v>
      </c>
      <c r="G219" s="107" t="s">
        <v>29</v>
      </c>
      <c r="H219" s="111" t="s">
        <v>47</v>
      </c>
      <c r="I219" s="89">
        <v>5</v>
      </c>
      <c r="J219" s="110" t="s">
        <v>0</v>
      </c>
      <c r="K219" s="103">
        <v>1815</v>
      </c>
      <c r="L219" s="90">
        <f t="shared" si="89"/>
        <v>9075</v>
      </c>
      <c r="M219" s="7">
        <f t="shared" si="90"/>
        <v>864010.20000000007</v>
      </c>
      <c r="N219" s="127" t="s">
        <v>681</v>
      </c>
      <c r="O219" s="88">
        <f>1+2+2</f>
        <v>5</v>
      </c>
      <c r="P219" s="91">
        <f t="shared" si="65"/>
        <v>0</v>
      </c>
      <c r="Q219" s="92" t="s">
        <v>682</v>
      </c>
      <c r="R219" s="92"/>
    </row>
    <row r="220" spans="1:18" ht="58" x14ac:dyDescent="0.35">
      <c r="A220" s="94">
        <v>44587</v>
      </c>
      <c r="B220" s="73">
        <f t="shared" si="87"/>
        <v>1</v>
      </c>
      <c r="C220" s="75">
        <f t="shared" si="88"/>
        <v>2022</v>
      </c>
      <c r="D220" s="123" t="s">
        <v>656</v>
      </c>
      <c r="E220" s="125" t="s">
        <v>347</v>
      </c>
      <c r="F220" s="107" t="s">
        <v>489</v>
      </c>
      <c r="G220" s="107" t="s">
        <v>489</v>
      </c>
      <c r="H220" s="111" t="s">
        <v>51</v>
      </c>
      <c r="I220" s="89">
        <v>9</v>
      </c>
      <c r="J220" s="110" t="s">
        <v>0</v>
      </c>
      <c r="K220" s="103">
        <v>1936</v>
      </c>
      <c r="L220" s="90">
        <f t="shared" si="89"/>
        <v>17424</v>
      </c>
      <c r="M220" s="7">
        <f t="shared" si="90"/>
        <v>881434.20000000007</v>
      </c>
      <c r="N220" s="127" t="s">
        <v>717</v>
      </c>
      <c r="O220" s="88">
        <f>4+2+2+1</f>
        <v>9</v>
      </c>
      <c r="P220" s="91">
        <f t="shared" si="65"/>
        <v>0</v>
      </c>
      <c r="Q220" s="92" t="s">
        <v>716</v>
      </c>
      <c r="R220" s="92"/>
    </row>
    <row r="221" spans="1:18" ht="29" x14ac:dyDescent="0.35">
      <c r="A221" s="94">
        <v>44587</v>
      </c>
      <c r="B221" s="73">
        <f t="shared" ref="B221:B225" si="93">MONTH(A221)</f>
        <v>1</v>
      </c>
      <c r="C221" s="75">
        <f t="shared" ref="C221:C225" si="94">YEAR(A221)</f>
        <v>2022</v>
      </c>
      <c r="D221" s="123" t="s">
        <v>656</v>
      </c>
      <c r="E221" s="125" t="s">
        <v>347</v>
      </c>
      <c r="F221" s="107" t="s">
        <v>655</v>
      </c>
      <c r="G221" s="107" t="s">
        <v>655</v>
      </c>
      <c r="H221" s="111" t="s">
        <v>51</v>
      </c>
      <c r="I221" s="89">
        <v>1</v>
      </c>
      <c r="J221" s="110" t="s">
        <v>0</v>
      </c>
      <c r="K221" s="103">
        <v>1936</v>
      </c>
      <c r="L221" s="90">
        <f t="shared" si="89"/>
        <v>1936</v>
      </c>
      <c r="M221" s="7">
        <f t="shared" si="90"/>
        <v>883370.20000000007</v>
      </c>
      <c r="N221" s="105" t="s">
        <v>668</v>
      </c>
      <c r="O221" s="88">
        <v>1</v>
      </c>
      <c r="P221" s="91">
        <f t="shared" si="65"/>
        <v>0</v>
      </c>
      <c r="Q221" s="92" t="s">
        <v>669</v>
      </c>
      <c r="R221" s="92"/>
    </row>
    <row r="222" spans="1:18" ht="43.5" x14ac:dyDescent="0.35">
      <c r="A222" s="94">
        <v>44587</v>
      </c>
      <c r="B222" s="73">
        <f t="shared" si="93"/>
        <v>1</v>
      </c>
      <c r="C222" s="75">
        <f t="shared" si="94"/>
        <v>2022</v>
      </c>
      <c r="D222" s="123" t="s">
        <v>656</v>
      </c>
      <c r="E222" s="125" t="s">
        <v>347</v>
      </c>
      <c r="F222" s="107" t="s">
        <v>624</v>
      </c>
      <c r="G222" s="107" t="s">
        <v>624</v>
      </c>
      <c r="H222" s="111" t="s">
        <v>51</v>
      </c>
      <c r="I222" s="89">
        <v>20</v>
      </c>
      <c r="J222" s="110" t="s">
        <v>1</v>
      </c>
      <c r="K222" s="103">
        <v>270</v>
      </c>
      <c r="L222" s="90">
        <f t="shared" si="89"/>
        <v>5400</v>
      </c>
      <c r="M222" s="7">
        <f t="shared" si="90"/>
        <v>888770.20000000007</v>
      </c>
      <c r="N222" s="127" t="s">
        <v>743</v>
      </c>
      <c r="O222" s="88">
        <f>1+8+10+1</f>
        <v>20</v>
      </c>
      <c r="P222" s="91">
        <f t="shared" si="65"/>
        <v>0</v>
      </c>
      <c r="Q222" s="92" t="s">
        <v>742</v>
      </c>
      <c r="R222" s="92"/>
    </row>
    <row r="223" spans="1:18" ht="87" x14ac:dyDescent="0.35">
      <c r="A223" s="94">
        <v>44587</v>
      </c>
      <c r="B223" s="73">
        <f t="shared" si="93"/>
        <v>1</v>
      </c>
      <c r="C223" s="75">
        <f t="shared" si="94"/>
        <v>2022</v>
      </c>
      <c r="D223" s="123" t="s">
        <v>656</v>
      </c>
      <c r="E223" s="125" t="s">
        <v>347</v>
      </c>
      <c r="F223" s="107" t="s">
        <v>657</v>
      </c>
      <c r="G223" s="107" t="s">
        <v>657</v>
      </c>
      <c r="H223" s="111" t="s">
        <v>51</v>
      </c>
      <c r="I223" s="89">
        <v>10</v>
      </c>
      <c r="J223" s="110" t="s">
        <v>1</v>
      </c>
      <c r="K223" s="103">
        <v>486</v>
      </c>
      <c r="L223" s="90">
        <f t="shared" si="89"/>
        <v>4860</v>
      </c>
      <c r="M223" s="7">
        <f t="shared" si="90"/>
        <v>893630.20000000007</v>
      </c>
      <c r="N223" s="127" t="s">
        <v>865</v>
      </c>
      <c r="O223" s="88">
        <f>1+2+1+3+2+1</f>
        <v>10</v>
      </c>
      <c r="P223" s="91">
        <f t="shared" si="65"/>
        <v>0</v>
      </c>
      <c r="Q223" s="92" t="s">
        <v>866</v>
      </c>
      <c r="R223" s="92"/>
    </row>
    <row r="224" spans="1:18" ht="29" x14ac:dyDescent="0.35">
      <c r="A224" s="94">
        <v>44587</v>
      </c>
      <c r="B224" s="73">
        <f t="shared" si="93"/>
        <v>1</v>
      </c>
      <c r="C224" s="75">
        <f t="shared" si="94"/>
        <v>2022</v>
      </c>
      <c r="D224" s="123" t="s">
        <v>656</v>
      </c>
      <c r="E224" s="125" t="s">
        <v>347</v>
      </c>
      <c r="F224" s="107" t="s">
        <v>625</v>
      </c>
      <c r="G224" s="107" t="s">
        <v>625</v>
      </c>
      <c r="H224" s="111" t="s">
        <v>51</v>
      </c>
      <c r="I224" s="89">
        <v>5</v>
      </c>
      <c r="J224" s="110" t="s">
        <v>1</v>
      </c>
      <c r="K224" s="103">
        <v>270</v>
      </c>
      <c r="L224" s="90">
        <f t="shared" si="89"/>
        <v>1350</v>
      </c>
      <c r="M224" s="7">
        <f t="shared" si="90"/>
        <v>894980.20000000007</v>
      </c>
      <c r="N224" s="127" t="s">
        <v>679</v>
      </c>
      <c r="O224" s="88">
        <f>4+1</f>
        <v>5</v>
      </c>
      <c r="P224" s="91">
        <f t="shared" si="65"/>
        <v>0</v>
      </c>
      <c r="Q224" s="92" t="s">
        <v>680</v>
      </c>
      <c r="R224" s="92"/>
    </row>
    <row r="225" spans="1:18" ht="43.5" x14ac:dyDescent="0.35">
      <c r="A225" s="94">
        <v>44606</v>
      </c>
      <c r="B225" s="73">
        <f t="shared" si="93"/>
        <v>2</v>
      </c>
      <c r="C225" s="75">
        <f t="shared" si="94"/>
        <v>2022</v>
      </c>
      <c r="D225" s="123" t="s">
        <v>678</v>
      </c>
      <c r="E225" s="125" t="s">
        <v>347</v>
      </c>
      <c r="F225" s="107" t="s">
        <v>625</v>
      </c>
      <c r="G225" s="47" t="s">
        <v>625</v>
      </c>
      <c r="H225" s="111" t="s">
        <v>51</v>
      </c>
      <c r="I225" s="89">
        <v>10</v>
      </c>
      <c r="J225" s="110" t="s">
        <v>1</v>
      </c>
      <c r="K225" s="103">
        <v>270</v>
      </c>
      <c r="L225" s="90">
        <f t="shared" si="89"/>
        <v>2700</v>
      </c>
      <c r="M225" s="7">
        <f t="shared" si="90"/>
        <v>897680.20000000007</v>
      </c>
      <c r="N225" s="127" t="s">
        <v>776</v>
      </c>
      <c r="O225" s="88">
        <f>3+1+2+2</f>
        <v>8</v>
      </c>
      <c r="P225" s="91">
        <f t="shared" si="65"/>
        <v>2</v>
      </c>
      <c r="Q225" s="92" t="s">
        <v>777</v>
      </c>
      <c r="R225" s="92"/>
    </row>
    <row r="226" spans="1:18" ht="116" x14ac:dyDescent="0.35">
      <c r="A226" s="94">
        <v>44606</v>
      </c>
      <c r="B226" s="73">
        <f t="shared" ref="B226" si="95">MONTH(A226)</f>
        <v>2</v>
      </c>
      <c r="C226" s="75">
        <f t="shared" ref="C226" si="96">YEAR(A226)</f>
        <v>2022</v>
      </c>
      <c r="D226" s="123"/>
      <c r="E226" s="125" t="s">
        <v>10</v>
      </c>
      <c r="F226" s="59" t="s">
        <v>64</v>
      </c>
      <c r="G226" s="59" t="s">
        <v>64</v>
      </c>
      <c r="H226" s="3" t="s">
        <v>47</v>
      </c>
      <c r="I226" s="17">
        <v>15</v>
      </c>
      <c r="J226" s="32" t="s">
        <v>0</v>
      </c>
      <c r="K226" s="103">
        <v>1815</v>
      </c>
      <c r="L226" s="90">
        <f t="shared" si="89"/>
        <v>27225</v>
      </c>
      <c r="M226" s="7">
        <f t="shared" si="90"/>
        <v>924905.20000000007</v>
      </c>
      <c r="N226" s="127" t="s">
        <v>746</v>
      </c>
      <c r="O226" s="88">
        <f>1+2+2+1+2+1+3+3</f>
        <v>15</v>
      </c>
      <c r="P226" s="91">
        <f t="shared" si="65"/>
        <v>0</v>
      </c>
      <c r="Q226" s="92" t="s">
        <v>747</v>
      </c>
      <c r="R226" s="92"/>
    </row>
    <row r="227" spans="1:18" ht="58" x14ac:dyDescent="0.35">
      <c r="A227" s="94">
        <v>44610</v>
      </c>
      <c r="B227" s="73">
        <f t="shared" ref="B227:B230" si="97">MONTH(A227)</f>
        <v>2</v>
      </c>
      <c r="C227" s="75">
        <f t="shared" ref="C227:C230" si="98">YEAR(A227)</f>
        <v>2022</v>
      </c>
      <c r="D227" s="123"/>
      <c r="E227" s="125" t="s">
        <v>10</v>
      </c>
      <c r="F227" s="107" t="s">
        <v>29</v>
      </c>
      <c r="G227" s="107" t="s">
        <v>29</v>
      </c>
      <c r="H227" s="111" t="s">
        <v>47</v>
      </c>
      <c r="I227" s="89">
        <v>15</v>
      </c>
      <c r="J227" s="110" t="s">
        <v>0</v>
      </c>
      <c r="K227" s="103">
        <v>1815</v>
      </c>
      <c r="L227" s="90">
        <f t="shared" si="89"/>
        <v>27225</v>
      </c>
      <c r="M227" s="7">
        <f t="shared" si="90"/>
        <v>952130.20000000007</v>
      </c>
      <c r="N227" s="127" t="s">
        <v>736</v>
      </c>
      <c r="O227" s="88">
        <f>6+2+1+6</f>
        <v>15</v>
      </c>
      <c r="P227" s="91">
        <f t="shared" si="65"/>
        <v>0</v>
      </c>
      <c r="Q227" s="92" t="s">
        <v>739</v>
      </c>
      <c r="R227" s="92"/>
    </row>
    <row r="228" spans="1:18" ht="29" x14ac:dyDescent="0.35">
      <c r="A228" s="94">
        <v>44610</v>
      </c>
      <c r="B228" s="73">
        <f t="shared" si="97"/>
        <v>2</v>
      </c>
      <c r="C228" s="75">
        <f t="shared" si="98"/>
        <v>2022</v>
      </c>
      <c r="D228" s="123" t="s">
        <v>720</v>
      </c>
      <c r="E228" s="125" t="s">
        <v>690</v>
      </c>
      <c r="F228" s="107" t="s">
        <v>691</v>
      </c>
      <c r="G228" s="107" t="s">
        <v>691</v>
      </c>
      <c r="H228" s="111" t="s">
        <v>51</v>
      </c>
      <c r="I228" s="89">
        <v>1</v>
      </c>
      <c r="J228" s="110" t="s">
        <v>0</v>
      </c>
      <c r="K228" s="103">
        <v>1804</v>
      </c>
      <c r="L228" s="90">
        <f t="shared" si="89"/>
        <v>1804</v>
      </c>
      <c r="M228" s="7">
        <f t="shared" si="90"/>
        <v>953934.20000000007</v>
      </c>
      <c r="N228" s="105" t="s">
        <v>692</v>
      </c>
      <c r="O228" s="88">
        <v>1</v>
      </c>
      <c r="P228" s="91">
        <f t="shared" si="65"/>
        <v>0</v>
      </c>
      <c r="Q228" s="92" t="s">
        <v>693</v>
      </c>
      <c r="R228" s="92"/>
    </row>
    <row r="229" spans="1:18" ht="29" x14ac:dyDescent="0.35">
      <c r="A229" s="94">
        <v>44613</v>
      </c>
      <c r="B229" s="73">
        <f t="shared" si="97"/>
        <v>2</v>
      </c>
      <c r="C229" s="75">
        <f t="shared" si="98"/>
        <v>2022</v>
      </c>
      <c r="D229" s="123"/>
      <c r="E229" s="125" t="s">
        <v>10</v>
      </c>
      <c r="F229" s="107" t="s">
        <v>254</v>
      </c>
      <c r="G229" s="107" t="s">
        <v>254</v>
      </c>
      <c r="H229" s="111" t="s">
        <v>47</v>
      </c>
      <c r="I229" s="89">
        <v>1</v>
      </c>
      <c r="J229" s="110" t="s">
        <v>125</v>
      </c>
      <c r="K229" s="103">
        <v>110</v>
      </c>
      <c r="L229" s="90">
        <f t="shared" si="89"/>
        <v>110</v>
      </c>
      <c r="M229" s="7">
        <f t="shared" si="90"/>
        <v>954044.20000000007</v>
      </c>
      <c r="N229" s="105" t="s">
        <v>708</v>
      </c>
      <c r="O229" s="88">
        <v>1</v>
      </c>
      <c r="P229" s="91">
        <f t="shared" si="65"/>
        <v>0</v>
      </c>
      <c r="Q229" s="92" t="s">
        <v>709</v>
      </c>
      <c r="R229" s="92"/>
    </row>
    <row r="230" spans="1:18" ht="43.5" x14ac:dyDescent="0.35">
      <c r="A230" s="94">
        <v>44616</v>
      </c>
      <c r="B230" s="73">
        <f t="shared" si="97"/>
        <v>2</v>
      </c>
      <c r="C230" s="75">
        <f t="shared" si="98"/>
        <v>2022</v>
      </c>
      <c r="D230" s="123"/>
      <c r="E230" s="125" t="s">
        <v>10</v>
      </c>
      <c r="F230" s="107" t="s">
        <v>19</v>
      </c>
      <c r="G230" s="107" t="s">
        <v>19</v>
      </c>
      <c r="H230" s="111" t="s">
        <v>47</v>
      </c>
      <c r="I230" s="89">
        <v>12</v>
      </c>
      <c r="J230" s="110" t="s">
        <v>25</v>
      </c>
      <c r="K230" s="103">
        <v>90</v>
      </c>
      <c r="L230" s="90">
        <f t="shared" si="89"/>
        <v>1080</v>
      </c>
      <c r="M230" s="7">
        <f t="shared" si="90"/>
        <v>955124.20000000007</v>
      </c>
      <c r="N230" s="127" t="s">
        <v>837</v>
      </c>
      <c r="O230" s="88">
        <f>2+2+6+2</f>
        <v>12</v>
      </c>
      <c r="P230" s="91">
        <f t="shared" si="65"/>
        <v>0</v>
      </c>
      <c r="Q230" s="92" t="s">
        <v>838</v>
      </c>
      <c r="R230" s="92"/>
    </row>
    <row r="231" spans="1:18" ht="29" x14ac:dyDescent="0.35">
      <c r="A231" s="94">
        <v>44616</v>
      </c>
      <c r="B231" s="73">
        <f t="shared" ref="B231" si="99">MONTH(A231)</f>
        <v>2</v>
      </c>
      <c r="C231" s="75">
        <f t="shared" ref="C231" si="100">YEAR(A231)</f>
        <v>2022</v>
      </c>
      <c r="D231" s="123"/>
      <c r="E231" s="125" t="s">
        <v>10</v>
      </c>
      <c r="F231" s="107" t="s">
        <v>233</v>
      </c>
      <c r="G231" s="107" t="s">
        <v>233</v>
      </c>
      <c r="H231" s="111" t="s">
        <v>47</v>
      </c>
      <c r="I231" s="89">
        <v>2</v>
      </c>
      <c r="J231" s="110" t="s">
        <v>217</v>
      </c>
      <c r="K231" s="103">
        <v>390</v>
      </c>
      <c r="L231" s="90">
        <f t="shared" si="89"/>
        <v>780</v>
      </c>
      <c r="M231" s="7">
        <f t="shared" si="90"/>
        <v>955904.20000000007</v>
      </c>
      <c r="N231" s="105" t="s">
        <v>737</v>
      </c>
      <c r="O231" s="88">
        <v>2</v>
      </c>
      <c r="P231" s="91">
        <f t="shared" si="65"/>
        <v>0</v>
      </c>
      <c r="Q231" s="92" t="s">
        <v>738</v>
      </c>
      <c r="R231" s="92"/>
    </row>
    <row r="232" spans="1:18" ht="29" x14ac:dyDescent="0.35">
      <c r="A232" s="94">
        <v>44627</v>
      </c>
      <c r="B232" s="73">
        <f t="shared" ref="B232:B236" si="101">MONTH(A232)</f>
        <v>3</v>
      </c>
      <c r="C232" s="75">
        <f t="shared" ref="C232:C236" si="102">YEAR(A232)</f>
        <v>2022</v>
      </c>
      <c r="D232" s="123" t="s">
        <v>721</v>
      </c>
      <c r="E232" s="125" t="s">
        <v>690</v>
      </c>
      <c r="F232" s="107" t="s">
        <v>691</v>
      </c>
      <c r="G232" s="107" t="s">
        <v>691</v>
      </c>
      <c r="H232" s="111" t="s">
        <v>51</v>
      </c>
      <c r="I232" s="89">
        <v>1</v>
      </c>
      <c r="J232" s="110" t="s">
        <v>0</v>
      </c>
      <c r="K232" s="103">
        <v>1859</v>
      </c>
      <c r="L232" s="90">
        <f t="shared" si="89"/>
        <v>1859</v>
      </c>
      <c r="M232" s="7">
        <f t="shared" si="90"/>
        <v>957763.20000000007</v>
      </c>
      <c r="N232" s="105" t="s">
        <v>725</v>
      </c>
      <c r="O232" s="88">
        <v>1</v>
      </c>
      <c r="P232" s="91">
        <f t="shared" si="65"/>
        <v>0</v>
      </c>
      <c r="Q232" s="92" t="s">
        <v>726</v>
      </c>
      <c r="R232" s="92"/>
    </row>
    <row r="233" spans="1:18" ht="29" x14ac:dyDescent="0.35">
      <c r="A233" s="94">
        <v>44627</v>
      </c>
      <c r="B233" s="73">
        <f t="shared" si="101"/>
        <v>3</v>
      </c>
      <c r="C233" s="75">
        <f t="shared" si="102"/>
        <v>2022</v>
      </c>
      <c r="D233" s="123" t="s">
        <v>721</v>
      </c>
      <c r="E233" s="125" t="s">
        <v>690</v>
      </c>
      <c r="F233" s="107" t="s">
        <v>723</v>
      </c>
      <c r="G233" s="107" t="s">
        <v>723</v>
      </c>
      <c r="H233" s="111" t="s">
        <v>51</v>
      </c>
      <c r="I233" s="89">
        <v>1</v>
      </c>
      <c r="J233" s="110" t="s">
        <v>18</v>
      </c>
      <c r="K233" s="103">
        <v>160</v>
      </c>
      <c r="L233" s="90">
        <f t="shared" si="89"/>
        <v>160</v>
      </c>
      <c r="M233" s="7">
        <f t="shared" si="90"/>
        <v>957923.20000000007</v>
      </c>
      <c r="N233" s="105" t="s">
        <v>725</v>
      </c>
      <c r="O233" s="88">
        <v>1</v>
      </c>
      <c r="P233" s="91">
        <f t="shared" si="65"/>
        <v>0</v>
      </c>
      <c r="Q233" s="92" t="s">
        <v>726</v>
      </c>
      <c r="R233" s="92"/>
    </row>
    <row r="234" spans="1:18" ht="29" x14ac:dyDescent="0.35">
      <c r="A234" s="94">
        <v>44627</v>
      </c>
      <c r="B234" s="73">
        <f t="shared" si="101"/>
        <v>3</v>
      </c>
      <c r="C234" s="75">
        <f t="shared" si="102"/>
        <v>2022</v>
      </c>
      <c r="D234" s="123" t="s">
        <v>721</v>
      </c>
      <c r="E234" s="125" t="s">
        <v>690</v>
      </c>
      <c r="F234" s="107" t="s">
        <v>724</v>
      </c>
      <c r="G234" s="107" t="s">
        <v>724</v>
      </c>
      <c r="H234" s="111" t="s">
        <v>51</v>
      </c>
      <c r="I234" s="89">
        <v>1</v>
      </c>
      <c r="J234" s="110" t="s">
        <v>18</v>
      </c>
      <c r="K234" s="103">
        <v>310</v>
      </c>
      <c r="L234" s="90">
        <f t="shared" si="89"/>
        <v>310</v>
      </c>
      <c r="M234" s="7">
        <f t="shared" si="90"/>
        <v>958233.20000000007</v>
      </c>
      <c r="N234" s="105" t="s">
        <v>725</v>
      </c>
      <c r="O234" s="88">
        <v>1</v>
      </c>
      <c r="P234" s="91">
        <f t="shared" si="65"/>
        <v>0</v>
      </c>
      <c r="Q234" s="92" t="s">
        <v>726</v>
      </c>
      <c r="R234" s="92"/>
    </row>
    <row r="235" spans="1:18" ht="29" x14ac:dyDescent="0.35">
      <c r="A235" s="94">
        <v>44627</v>
      </c>
      <c r="B235" s="73">
        <f t="shared" si="101"/>
        <v>3</v>
      </c>
      <c r="C235" s="75">
        <f t="shared" si="102"/>
        <v>2022</v>
      </c>
      <c r="D235" s="123" t="s">
        <v>721</v>
      </c>
      <c r="E235" s="125" t="s">
        <v>690</v>
      </c>
      <c r="F235" s="107" t="s">
        <v>722</v>
      </c>
      <c r="G235" s="107" t="s">
        <v>722</v>
      </c>
      <c r="H235" s="111" t="s">
        <v>51</v>
      </c>
      <c r="I235" s="89">
        <v>2</v>
      </c>
      <c r="J235" s="110" t="s">
        <v>125</v>
      </c>
      <c r="K235" s="103">
        <v>185</v>
      </c>
      <c r="L235" s="90">
        <f t="shared" si="89"/>
        <v>370</v>
      </c>
      <c r="M235" s="7">
        <f t="shared" si="90"/>
        <v>958603.20000000007</v>
      </c>
      <c r="N235" s="105" t="s">
        <v>725</v>
      </c>
      <c r="O235" s="88">
        <v>2</v>
      </c>
      <c r="P235" s="91">
        <f t="shared" si="65"/>
        <v>0</v>
      </c>
      <c r="Q235" s="92" t="s">
        <v>727</v>
      </c>
      <c r="R235" s="92"/>
    </row>
    <row r="236" spans="1:18" ht="43.5" x14ac:dyDescent="0.35">
      <c r="A236" s="94">
        <v>44630</v>
      </c>
      <c r="B236" s="73">
        <f t="shared" si="101"/>
        <v>3</v>
      </c>
      <c r="C236" s="75">
        <f t="shared" si="102"/>
        <v>2022</v>
      </c>
      <c r="D236" s="123" t="s">
        <v>728</v>
      </c>
      <c r="E236" s="125" t="s">
        <v>307</v>
      </c>
      <c r="F236" s="107" t="s">
        <v>645</v>
      </c>
      <c r="G236" s="47" t="s">
        <v>645</v>
      </c>
      <c r="H236" s="111" t="s">
        <v>51</v>
      </c>
      <c r="I236" s="89">
        <v>4</v>
      </c>
      <c r="J236" s="110" t="s">
        <v>125</v>
      </c>
      <c r="K236" s="103">
        <v>305</v>
      </c>
      <c r="L236" s="90">
        <f t="shared" ref="L236:L263" si="103">SUM(I236*K236)</f>
        <v>1220</v>
      </c>
      <c r="M236" s="7">
        <f t="shared" ref="M236:M286" si="104">SUM(M235+L236)</f>
        <v>959823.20000000007</v>
      </c>
      <c r="N236" s="127" t="s">
        <v>785</v>
      </c>
      <c r="O236" s="88">
        <f>1+1+2</f>
        <v>4</v>
      </c>
      <c r="P236" s="91">
        <f t="shared" si="65"/>
        <v>0</v>
      </c>
      <c r="Q236" s="92" t="s">
        <v>786</v>
      </c>
      <c r="R236" s="92"/>
    </row>
    <row r="237" spans="1:18" ht="58" x14ac:dyDescent="0.35">
      <c r="A237" s="94">
        <v>44630</v>
      </c>
      <c r="B237" s="73">
        <f t="shared" ref="B237:B242" si="105">MONTH(A237)</f>
        <v>3</v>
      </c>
      <c r="C237" s="75">
        <f t="shared" ref="C237:C242" si="106">YEAR(A237)</f>
        <v>2022</v>
      </c>
      <c r="D237" s="123" t="s">
        <v>731</v>
      </c>
      <c r="E237" s="125" t="s">
        <v>690</v>
      </c>
      <c r="F237" s="107" t="s">
        <v>733</v>
      </c>
      <c r="G237" s="107" t="s">
        <v>733</v>
      </c>
      <c r="H237" s="111" t="s">
        <v>47</v>
      </c>
      <c r="I237" s="89">
        <v>20</v>
      </c>
      <c r="J237" s="110" t="s">
        <v>1</v>
      </c>
      <c r="K237" s="103">
        <v>273</v>
      </c>
      <c r="L237" s="90">
        <f t="shared" si="103"/>
        <v>5460</v>
      </c>
      <c r="M237" s="7">
        <f t="shared" si="104"/>
        <v>965283.20000000007</v>
      </c>
      <c r="N237" s="127" t="s">
        <v>765</v>
      </c>
      <c r="O237" s="88">
        <f>4+7+6+3</f>
        <v>20</v>
      </c>
      <c r="P237" s="91">
        <f t="shared" si="65"/>
        <v>0</v>
      </c>
      <c r="Q237" s="92" t="s">
        <v>766</v>
      </c>
      <c r="R237" s="92"/>
    </row>
    <row r="238" spans="1:18" ht="29" x14ac:dyDescent="0.35">
      <c r="A238" s="94">
        <v>44630</v>
      </c>
      <c r="B238" s="73">
        <f t="shared" si="105"/>
        <v>3</v>
      </c>
      <c r="C238" s="75">
        <f t="shared" si="106"/>
        <v>2022</v>
      </c>
      <c r="D238" s="123" t="s">
        <v>731</v>
      </c>
      <c r="E238" s="125" t="s">
        <v>690</v>
      </c>
      <c r="F238" s="107" t="s">
        <v>732</v>
      </c>
      <c r="G238" s="107" t="s">
        <v>732</v>
      </c>
      <c r="H238" s="111" t="s">
        <v>47</v>
      </c>
      <c r="I238" s="89">
        <v>10</v>
      </c>
      <c r="J238" s="110" t="s">
        <v>1</v>
      </c>
      <c r="K238" s="103">
        <v>546</v>
      </c>
      <c r="L238" s="90">
        <f t="shared" si="103"/>
        <v>5460</v>
      </c>
      <c r="M238" s="7">
        <f t="shared" si="104"/>
        <v>970743.20000000007</v>
      </c>
      <c r="N238" s="127" t="s">
        <v>791</v>
      </c>
      <c r="O238" s="88">
        <f>6+3+1</f>
        <v>10</v>
      </c>
      <c r="P238" s="91">
        <f t="shared" si="65"/>
        <v>0</v>
      </c>
      <c r="Q238" s="92" t="s">
        <v>792</v>
      </c>
      <c r="R238" s="92"/>
    </row>
    <row r="239" spans="1:18" ht="87" x14ac:dyDescent="0.35">
      <c r="A239" s="94">
        <v>44632</v>
      </c>
      <c r="B239" s="73">
        <f t="shared" si="105"/>
        <v>3</v>
      </c>
      <c r="C239" s="75">
        <f t="shared" si="106"/>
        <v>2022</v>
      </c>
      <c r="D239" s="123" t="s">
        <v>729</v>
      </c>
      <c r="E239" s="125" t="s">
        <v>429</v>
      </c>
      <c r="F239" s="107" t="s">
        <v>767</v>
      </c>
      <c r="G239" s="47" t="s">
        <v>767</v>
      </c>
      <c r="H239" s="111" t="s">
        <v>51</v>
      </c>
      <c r="I239" s="89">
        <v>24</v>
      </c>
      <c r="J239" s="110" t="s">
        <v>25</v>
      </c>
      <c r="K239" s="103">
        <v>55</v>
      </c>
      <c r="L239" s="90">
        <f t="shared" si="103"/>
        <v>1320</v>
      </c>
      <c r="M239" s="7">
        <f t="shared" si="104"/>
        <v>972063.20000000007</v>
      </c>
      <c r="N239" s="127" t="s">
        <v>815</v>
      </c>
      <c r="O239" s="88">
        <f>4+2+4+1+2+1+4+6</f>
        <v>24</v>
      </c>
      <c r="P239" s="91">
        <f t="shared" ref="P239:P286" si="107">I239-O239</f>
        <v>0</v>
      </c>
      <c r="Q239" s="97" t="s">
        <v>816</v>
      </c>
      <c r="R239" s="92"/>
    </row>
    <row r="240" spans="1:18" ht="72.5" x14ac:dyDescent="0.35">
      <c r="A240" s="94">
        <v>44637</v>
      </c>
      <c r="B240" s="73">
        <f t="shared" si="105"/>
        <v>3</v>
      </c>
      <c r="C240" s="75">
        <f t="shared" si="106"/>
        <v>2022</v>
      </c>
      <c r="D240" s="123"/>
      <c r="E240" s="125" t="s">
        <v>10</v>
      </c>
      <c r="F240" s="107" t="s">
        <v>64</v>
      </c>
      <c r="G240" s="47" t="s">
        <v>64</v>
      </c>
      <c r="H240" s="111" t="s">
        <v>47</v>
      </c>
      <c r="I240" s="89">
        <v>10</v>
      </c>
      <c r="J240" s="110" t="s">
        <v>0</v>
      </c>
      <c r="K240" s="103">
        <v>1870</v>
      </c>
      <c r="L240" s="90">
        <f t="shared" si="103"/>
        <v>18700</v>
      </c>
      <c r="M240" s="7">
        <f t="shared" si="104"/>
        <v>990763.20000000007</v>
      </c>
      <c r="N240" s="127" t="s">
        <v>787</v>
      </c>
      <c r="O240" s="88">
        <f>2+3+1+2+1+1</f>
        <v>10</v>
      </c>
      <c r="P240" s="91">
        <f t="shared" si="107"/>
        <v>0</v>
      </c>
      <c r="Q240" s="92" t="s">
        <v>788</v>
      </c>
      <c r="R240" s="92"/>
    </row>
    <row r="241" spans="1:18" ht="58" x14ac:dyDescent="0.35">
      <c r="A241" s="94">
        <v>44637</v>
      </c>
      <c r="B241" s="73"/>
      <c r="C241" s="75"/>
      <c r="D241" s="123"/>
      <c r="E241" s="125" t="s">
        <v>10</v>
      </c>
      <c r="F241" s="107" t="s">
        <v>29</v>
      </c>
      <c r="G241" s="47" t="s">
        <v>29</v>
      </c>
      <c r="H241" s="111" t="s">
        <v>47</v>
      </c>
      <c r="I241" s="89">
        <v>10</v>
      </c>
      <c r="J241" s="110" t="s">
        <v>0</v>
      </c>
      <c r="K241" s="103">
        <v>1815</v>
      </c>
      <c r="L241" s="90">
        <f t="shared" si="103"/>
        <v>18150</v>
      </c>
      <c r="M241" s="7">
        <f t="shared" si="104"/>
        <v>1008913.2000000001</v>
      </c>
      <c r="N241" s="127" t="s">
        <v>782</v>
      </c>
      <c r="O241" s="88">
        <f>4+2+1+2+1</f>
        <v>10</v>
      </c>
      <c r="P241" s="91">
        <f t="shared" si="107"/>
        <v>0</v>
      </c>
      <c r="Q241" s="92" t="s">
        <v>775</v>
      </c>
      <c r="R241" s="92"/>
    </row>
    <row r="242" spans="1:18" ht="29" x14ac:dyDescent="0.35">
      <c r="A242" s="94">
        <v>44638</v>
      </c>
      <c r="B242" s="73">
        <f t="shared" si="105"/>
        <v>3</v>
      </c>
      <c r="C242" s="75">
        <f t="shared" si="106"/>
        <v>2022</v>
      </c>
      <c r="D242" s="123"/>
      <c r="E242" s="125" t="s">
        <v>690</v>
      </c>
      <c r="F242" s="107" t="s">
        <v>748</v>
      </c>
      <c r="G242" s="107" t="s">
        <v>748</v>
      </c>
      <c r="H242" s="111" t="s">
        <v>51</v>
      </c>
      <c r="I242" s="89">
        <v>5</v>
      </c>
      <c r="J242" s="110" t="s">
        <v>1</v>
      </c>
      <c r="K242" s="103">
        <v>258</v>
      </c>
      <c r="L242" s="90">
        <f t="shared" si="103"/>
        <v>1290</v>
      </c>
      <c r="M242" s="7">
        <f t="shared" si="104"/>
        <v>1010203.2000000001</v>
      </c>
      <c r="N242" s="105" t="s">
        <v>750</v>
      </c>
      <c r="O242" s="88">
        <v>5</v>
      </c>
      <c r="P242" s="91">
        <f t="shared" si="107"/>
        <v>0</v>
      </c>
      <c r="Q242" s="92" t="s">
        <v>751</v>
      </c>
      <c r="R242" s="92"/>
    </row>
    <row r="243" spans="1:18" x14ac:dyDescent="0.35">
      <c r="A243" s="94">
        <v>44638</v>
      </c>
      <c r="B243" s="73">
        <f t="shared" ref="B243:B244" si="108">MONTH(A243)</f>
        <v>3</v>
      </c>
      <c r="C243" s="75">
        <f t="shared" ref="C243:C244" si="109">YEAR(A243)</f>
        <v>2022</v>
      </c>
      <c r="D243" s="93"/>
      <c r="E243" s="125" t="s">
        <v>690</v>
      </c>
      <c r="F243" s="107" t="s">
        <v>749</v>
      </c>
      <c r="G243" s="107" t="s">
        <v>749</v>
      </c>
      <c r="H243" s="111" t="s">
        <v>51</v>
      </c>
      <c r="I243" s="89">
        <v>1</v>
      </c>
      <c r="J243" s="110" t="s">
        <v>215</v>
      </c>
      <c r="K243" s="103">
        <v>250</v>
      </c>
      <c r="L243" s="90">
        <f t="shared" si="103"/>
        <v>250</v>
      </c>
      <c r="M243" s="7">
        <f t="shared" si="104"/>
        <v>1010453.2000000001</v>
      </c>
      <c r="N243" s="105" t="s">
        <v>753</v>
      </c>
      <c r="O243" s="88">
        <v>1</v>
      </c>
      <c r="P243" s="91">
        <f t="shared" si="107"/>
        <v>0</v>
      </c>
      <c r="Q243" s="92" t="s">
        <v>756</v>
      </c>
      <c r="R243" s="92"/>
    </row>
    <row r="244" spans="1:18" ht="29" x14ac:dyDescent="0.35">
      <c r="A244" s="94">
        <v>44638</v>
      </c>
      <c r="B244" s="73">
        <f t="shared" si="108"/>
        <v>3</v>
      </c>
      <c r="C244" s="75">
        <f t="shared" si="109"/>
        <v>2022</v>
      </c>
      <c r="D244" s="123"/>
      <c r="E244" s="125" t="s">
        <v>690</v>
      </c>
      <c r="F244" s="107" t="s">
        <v>724</v>
      </c>
      <c r="G244" s="107" t="s">
        <v>724</v>
      </c>
      <c r="H244" s="111" t="s">
        <v>51</v>
      </c>
      <c r="I244" s="89">
        <v>1</v>
      </c>
      <c r="J244" s="110" t="s">
        <v>18</v>
      </c>
      <c r="K244" s="103">
        <v>310</v>
      </c>
      <c r="L244" s="90">
        <f t="shared" si="103"/>
        <v>310</v>
      </c>
      <c r="M244" s="7">
        <f t="shared" si="104"/>
        <v>1010763.2000000001</v>
      </c>
      <c r="N244" s="105" t="s">
        <v>761</v>
      </c>
      <c r="O244" s="88">
        <v>1</v>
      </c>
      <c r="P244" s="91">
        <f t="shared" si="107"/>
        <v>0</v>
      </c>
      <c r="Q244" s="92" t="s">
        <v>757</v>
      </c>
      <c r="R244" s="92"/>
    </row>
    <row r="245" spans="1:18" x14ac:dyDescent="0.35">
      <c r="A245" s="94">
        <v>44638</v>
      </c>
      <c r="B245" s="73">
        <f t="shared" ref="B245:B246" si="110">MONTH(A245)</f>
        <v>3</v>
      </c>
      <c r="C245" s="75">
        <f t="shared" ref="C245:C246" si="111">YEAR(A245)</f>
        <v>2022</v>
      </c>
      <c r="D245" s="123"/>
      <c r="E245" s="125" t="s">
        <v>690</v>
      </c>
      <c r="F245" s="107" t="s">
        <v>752</v>
      </c>
      <c r="G245" s="107" t="s">
        <v>752</v>
      </c>
      <c r="H245" s="111" t="s">
        <v>51</v>
      </c>
      <c r="I245" s="89">
        <v>1</v>
      </c>
      <c r="J245" s="110" t="s">
        <v>0</v>
      </c>
      <c r="K245" s="103">
        <v>896.5</v>
      </c>
      <c r="L245" s="90">
        <f t="shared" si="103"/>
        <v>896.5</v>
      </c>
      <c r="M245" s="7">
        <f t="shared" si="104"/>
        <v>1011659.7000000001</v>
      </c>
      <c r="N245" s="105" t="s">
        <v>753</v>
      </c>
      <c r="O245" s="88">
        <v>1</v>
      </c>
      <c r="P245" s="91">
        <f t="shared" si="107"/>
        <v>0</v>
      </c>
      <c r="Q245" s="92" t="s">
        <v>756</v>
      </c>
      <c r="R245" s="92"/>
    </row>
    <row r="246" spans="1:18" ht="43.5" x14ac:dyDescent="0.35">
      <c r="A246" s="94">
        <v>44638</v>
      </c>
      <c r="B246" s="73">
        <f t="shared" si="110"/>
        <v>3</v>
      </c>
      <c r="C246" s="75">
        <f t="shared" si="111"/>
        <v>2022</v>
      </c>
      <c r="D246" s="123"/>
      <c r="E246" s="125" t="s">
        <v>690</v>
      </c>
      <c r="F246" s="107" t="s">
        <v>769</v>
      </c>
      <c r="G246" s="107" t="s">
        <v>769</v>
      </c>
      <c r="H246" s="111" t="s">
        <v>51</v>
      </c>
      <c r="I246" s="89">
        <v>1</v>
      </c>
      <c r="J246" s="110" t="s">
        <v>18</v>
      </c>
      <c r="K246" s="103">
        <v>650</v>
      </c>
      <c r="L246" s="90">
        <f t="shared" si="103"/>
        <v>650</v>
      </c>
      <c r="M246" s="7">
        <f t="shared" si="104"/>
        <v>1012309.7000000001</v>
      </c>
      <c r="N246" s="105" t="s">
        <v>763</v>
      </c>
      <c r="O246" s="88">
        <v>1</v>
      </c>
      <c r="P246" s="91">
        <f t="shared" si="107"/>
        <v>0</v>
      </c>
      <c r="Q246" s="92" t="s">
        <v>764</v>
      </c>
      <c r="R246" s="92"/>
    </row>
    <row r="247" spans="1:18" ht="29" x14ac:dyDescent="0.35">
      <c r="A247" s="106" t="s">
        <v>760</v>
      </c>
      <c r="B247" s="73">
        <f t="shared" ref="B247:B254" si="112">MONTH(A247)</f>
        <v>3</v>
      </c>
      <c r="C247" s="75">
        <f t="shared" ref="C247:C254" si="113">YEAR(A247)</f>
        <v>2022</v>
      </c>
      <c r="D247" s="123"/>
      <c r="E247" s="125" t="s">
        <v>10</v>
      </c>
      <c r="F247" s="107" t="s">
        <v>146</v>
      </c>
      <c r="G247" s="47" t="s">
        <v>180</v>
      </c>
      <c r="H247" s="111" t="s">
        <v>47</v>
      </c>
      <c r="I247" s="89">
        <v>20</v>
      </c>
      <c r="J247" s="110" t="s">
        <v>1</v>
      </c>
      <c r="K247" s="103">
        <v>475.2</v>
      </c>
      <c r="L247" s="90">
        <f t="shared" si="103"/>
        <v>9504</v>
      </c>
      <c r="M247" s="7">
        <f t="shared" si="104"/>
        <v>1021813.7000000001</v>
      </c>
      <c r="N247" s="105" t="s">
        <v>831</v>
      </c>
      <c r="O247" s="88">
        <f>1+3</f>
        <v>4</v>
      </c>
      <c r="P247" s="91">
        <f t="shared" si="107"/>
        <v>16</v>
      </c>
      <c r="Q247" s="92" t="s">
        <v>832</v>
      </c>
      <c r="R247" s="92"/>
    </row>
    <row r="248" spans="1:18" ht="145" x14ac:dyDescent="0.35">
      <c r="A248" s="106" t="s">
        <v>760</v>
      </c>
      <c r="B248" s="73">
        <f t="shared" si="112"/>
        <v>3</v>
      </c>
      <c r="C248" s="75">
        <f t="shared" si="113"/>
        <v>2022</v>
      </c>
      <c r="D248" s="123"/>
      <c r="E248" s="125" t="s">
        <v>10</v>
      </c>
      <c r="F248" s="107" t="s">
        <v>28</v>
      </c>
      <c r="G248" s="47" t="s">
        <v>28</v>
      </c>
      <c r="H248" s="111" t="s">
        <v>47</v>
      </c>
      <c r="I248" s="89">
        <v>40</v>
      </c>
      <c r="J248" s="110" t="s">
        <v>217</v>
      </c>
      <c r="K248" s="103">
        <v>32.5</v>
      </c>
      <c r="L248" s="90">
        <f t="shared" si="103"/>
        <v>1300</v>
      </c>
      <c r="M248" s="7">
        <f t="shared" si="104"/>
        <v>1023113.7000000001</v>
      </c>
      <c r="N248" s="127" t="s">
        <v>841</v>
      </c>
      <c r="O248" s="88">
        <f>7+3+3+3+4+3+1+3+3+5+1+2+2</f>
        <v>40</v>
      </c>
      <c r="P248" s="91">
        <f t="shared" si="107"/>
        <v>0</v>
      </c>
      <c r="Q248" s="92" t="s">
        <v>842</v>
      </c>
      <c r="R248" s="92"/>
    </row>
    <row r="249" spans="1:18" ht="58" x14ac:dyDescent="0.35">
      <c r="A249" s="94">
        <v>44643</v>
      </c>
      <c r="B249" s="73">
        <f t="shared" si="112"/>
        <v>3</v>
      </c>
      <c r="C249" s="75">
        <f t="shared" si="113"/>
        <v>2022</v>
      </c>
      <c r="D249" s="123"/>
      <c r="E249" s="125" t="s">
        <v>690</v>
      </c>
      <c r="F249" s="107" t="s">
        <v>733</v>
      </c>
      <c r="G249" s="47" t="s">
        <v>733</v>
      </c>
      <c r="H249" s="111" t="s">
        <v>47</v>
      </c>
      <c r="I249" s="89">
        <v>20</v>
      </c>
      <c r="J249" s="110" t="s">
        <v>1</v>
      </c>
      <c r="K249" s="103">
        <v>273</v>
      </c>
      <c r="L249" s="90">
        <f t="shared" si="103"/>
        <v>5460</v>
      </c>
      <c r="M249" s="7">
        <f t="shared" si="104"/>
        <v>1028573.7000000001</v>
      </c>
      <c r="N249" s="127" t="s">
        <v>784</v>
      </c>
      <c r="O249" s="88">
        <f>7+4+8+1</f>
        <v>20</v>
      </c>
      <c r="P249" s="91">
        <f t="shared" si="107"/>
        <v>0</v>
      </c>
      <c r="Q249" s="92" t="s">
        <v>783</v>
      </c>
      <c r="R249" s="92"/>
    </row>
    <row r="250" spans="1:18" ht="43.5" x14ac:dyDescent="0.35">
      <c r="A250" s="94">
        <v>44643</v>
      </c>
      <c r="B250" s="73">
        <f t="shared" si="112"/>
        <v>3</v>
      </c>
      <c r="C250" s="75">
        <f t="shared" si="113"/>
        <v>2022</v>
      </c>
      <c r="D250" s="123"/>
      <c r="E250" s="125" t="s">
        <v>690</v>
      </c>
      <c r="F250" s="107" t="s">
        <v>748</v>
      </c>
      <c r="G250" s="47" t="s">
        <v>748</v>
      </c>
      <c r="H250" s="111" t="s">
        <v>47</v>
      </c>
      <c r="I250" s="89">
        <v>10</v>
      </c>
      <c r="J250" s="110" t="s">
        <v>1</v>
      </c>
      <c r="K250" s="103">
        <v>258</v>
      </c>
      <c r="L250" s="90">
        <f t="shared" si="103"/>
        <v>2580</v>
      </c>
      <c r="M250" s="7">
        <f t="shared" si="104"/>
        <v>1031153.7000000001</v>
      </c>
      <c r="N250" s="127" t="s">
        <v>778</v>
      </c>
      <c r="O250" s="88">
        <f>6+3+1</f>
        <v>10</v>
      </c>
      <c r="P250" s="91">
        <f t="shared" si="107"/>
        <v>0</v>
      </c>
      <c r="Q250" s="92" t="s">
        <v>779</v>
      </c>
      <c r="R250" s="92"/>
    </row>
    <row r="251" spans="1:18" ht="29" x14ac:dyDescent="0.35">
      <c r="A251" s="94">
        <v>44643</v>
      </c>
      <c r="B251" s="73">
        <f t="shared" si="112"/>
        <v>3</v>
      </c>
      <c r="C251" s="75">
        <f t="shared" si="113"/>
        <v>2022</v>
      </c>
      <c r="D251" s="123"/>
      <c r="E251" s="125" t="s">
        <v>690</v>
      </c>
      <c r="F251" s="107" t="s">
        <v>733</v>
      </c>
      <c r="G251" s="47" t="s">
        <v>733</v>
      </c>
      <c r="H251" s="111" t="s">
        <v>51</v>
      </c>
      <c r="I251" s="89">
        <v>4</v>
      </c>
      <c r="J251" s="110" t="s">
        <v>1</v>
      </c>
      <c r="K251" s="103">
        <v>273</v>
      </c>
      <c r="L251" s="90">
        <f t="shared" si="103"/>
        <v>1092</v>
      </c>
      <c r="M251" s="7">
        <f t="shared" si="104"/>
        <v>1032245.7000000001</v>
      </c>
      <c r="N251" s="105" t="s">
        <v>758</v>
      </c>
      <c r="O251" s="88">
        <v>4</v>
      </c>
      <c r="P251" s="91">
        <f t="shared" si="107"/>
        <v>0</v>
      </c>
      <c r="Q251" s="92" t="s">
        <v>759</v>
      </c>
      <c r="R251" s="92"/>
    </row>
    <row r="252" spans="1:18" ht="29" x14ac:dyDescent="0.35">
      <c r="A252" s="94">
        <v>44643</v>
      </c>
      <c r="B252" s="73">
        <f t="shared" si="112"/>
        <v>3</v>
      </c>
      <c r="C252" s="75">
        <f t="shared" si="113"/>
        <v>2022</v>
      </c>
      <c r="D252" s="123"/>
      <c r="E252" s="125" t="s">
        <v>690</v>
      </c>
      <c r="F252" s="107" t="s">
        <v>748</v>
      </c>
      <c r="G252" s="47" t="s">
        <v>748</v>
      </c>
      <c r="H252" s="111" t="s">
        <v>51</v>
      </c>
      <c r="I252" s="89">
        <v>4</v>
      </c>
      <c r="J252" s="110" t="s">
        <v>1</v>
      </c>
      <c r="K252" s="103">
        <v>258</v>
      </c>
      <c r="L252" s="90">
        <f t="shared" si="103"/>
        <v>1032</v>
      </c>
      <c r="M252" s="7">
        <f t="shared" si="104"/>
        <v>1033277.7000000001</v>
      </c>
      <c r="N252" s="105" t="s">
        <v>758</v>
      </c>
      <c r="O252" s="88">
        <v>4</v>
      </c>
      <c r="P252" s="91">
        <f t="shared" si="107"/>
        <v>0</v>
      </c>
      <c r="Q252" s="92" t="s">
        <v>759</v>
      </c>
      <c r="R252" s="92"/>
    </row>
    <row r="253" spans="1:18" ht="29" x14ac:dyDescent="0.35">
      <c r="A253" s="94">
        <v>44650</v>
      </c>
      <c r="B253" s="73">
        <f t="shared" si="112"/>
        <v>3</v>
      </c>
      <c r="C253" s="75">
        <f t="shared" si="113"/>
        <v>2022</v>
      </c>
      <c r="D253" s="123"/>
      <c r="E253" s="125" t="s">
        <v>690</v>
      </c>
      <c r="F253" s="107" t="s">
        <v>722</v>
      </c>
      <c r="G253" s="107" t="s">
        <v>722</v>
      </c>
      <c r="H253" s="111" t="s">
        <v>51</v>
      </c>
      <c r="I253" s="89">
        <v>2</v>
      </c>
      <c r="J253" s="110" t="s">
        <v>125</v>
      </c>
      <c r="K253" s="103">
        <v>180</v>
      </c>
      <c r="L253" s="90">
        <f t="shared" si="103"/>
        <v>360</v>
      </c>
      <c r="M253" s="7">
        <f t="shared" si="104"/>
        <v>1033637.7000000001</v>
      </c>
      <c r="N253" s="105" t="s">
        <v>771</v>
      </c>
      <c r="O253" s="88">
        <v>2</v>
      </c>
      <c r="P253" s="91">
        <f t="shared" si="107"/>
        <v>0</v>
      </c>
      <c r="Q253" s="92" t="s">
        <v>780</v>
      </c>
      <c r="R253" s="92"/>
    </row>
    <row r="254" spans="1:18" ht="29" x14ac:dyDescent="0.35">
      <c r="A254" s="94">
        <v>44652</v>
      </c>
      <c r="B254" s="73">
        <f t="shared" si="112"/>
        <v>4</v>
      </c>
      <c r="C254" s="75">
        <f t="shared" si="113"/>
        <v>2022</v>
      </c>
      <c r="D254" s="123"/>
      <c r="E254" s="125" t="s">
        <v>690</v>
      </c>
      <c r="F254" s="107" t="s">
        <v>768</v>
      </c>
      <c r="G254" s="107" t="s">
        <v>768</v>
      </c>
      <c r="H254" s="111" t="s">
        <v>51</v>
      </c>
      <c r="I254" s="89">
        <v>1</v>
      </c>
      <c r="J254" s="110" t="s">
        <v>18</v>
      </c>
      <c r="K254" s="103">
        <v>321.25</v>
      </c>
      <c r="L254" s="90">
        <f t="shared" si="103"/>
        <v>321.25</v>
      </c>
      <c r="M254" s="7">
        <f t="shared" si="104"/>
        <v>1033958.9500000001</v>
      </c>
      <c r="N254" s="105" t="s">
        <v>771</v>
      </c>
      <c r="O254" s="88">
        <v>1</v>
      </c>
      <c r="P254" s="91">
        <f t="shared" si="107"/>
        <v>0</v>
      </c>
      <c r="Q254" s="92" t="s">
        <v>773</v>
      </c>
      <c r="R254" s="92"/>
    </row>
    <row r="255" spans="1:18" ht="43.5" x14ac:dyDescent="0.35">
      <c r="A255" s="94">
        <v>44652</v>
      </c>
      <c r="B255" s="73">
        <f t="shared" ref="B255:B266" si="114">MONTH(A255)</f>
        <v>4</v>
      </c>
      <c r="C255" s="75">
        <f t="shared" ref="C255:C266" si="115">YEAR(A255)</f>
        <v>2022</v>
      </c>
      <c r="D255" s="123"/>
      <c r="E255" s="125" t="s">
        <v>690</v>
      </c>
      <c r="F255" s="107" t="s">
        <v>769</v>
      </c>
      <c r="G255" s="107" t="s">
        <v>769</v>
      </c>
      <c r="H255" s="111" t="s">
        <v>51</v>
      </c>
      <c r="I255" s="89">
        <v>1</v>
      </c>
      <c r="J255" s="110" t="s">
        <v>18</v>
      </c>
      <c r="K255" s="103">
        <v>650</v>
      </c>
      <c r="L255" s="90">
        <f t="shared" si="103"/>
        <v>650</v>
      </c>
      <c r="M255" s="7">
        <f t="shared" si="104"/>
        <v>1034608.9500000001</v>
      </c>
      <c r="N255" s="105" t="s">
        <v>771</v>
      </c>
      <c r="O255" s="88">
        <v>1</v>
      </c>
      <c r="P255" s="91">
        <f t="shared" si="107"/>
        <v>0</v>
      </c>
      <c r="Q255" s="92" t="s">
        <v>770</v>
      </c>
      <c r="R255" s="92"/>
    </row>
    <row r="256" spans="1:18" ht="29" x14ac:dyDescent="0.35">
      <c r="A256" s="94">
        <v>44652</v>
      </c>
      <c r="B256" s="73">
        <f t="shared" si="114"/>
        <v>4</v>
      </c>
      <c r="C256" s="75">
        <f t="shared" si="115"/>
        <v>2022</v>
      </c>
      <c r="D256" s="123"/>
      <c r="E256" s="125" t="s">
        <v>690</v>
      </c>
      <c r="F256" s="107" t="s">
        <v>733</v>
      </c>
      <c r="G256" s="107" t="s">
        <v>733</v>
      </c>
      <c r="H256" s="111" t="s">
        <v>51</v>
      </c>
      <c r="I256" s="89">
        <v>3</v>
      </c>
      <c r="J256" s="110" t="s">
        <v>1</v>
      </c>
      <c r="K256" s="103">
        <v>273</v>
      </c>
      <c r="L256" s="90">
        <f t="shared" si="103"/>
        <v>819</v>
      </c>
      <c r="M256" s="7">
        <f t="shared" si="104"/>
        <v>1035427.9500000001</v>
      </c>
      <c r="N256" s="105" t="s">
        <v>771</v>
      </c>
      <c r="O256" s="88">
        <v>3</v>
      </c>
      <c r="P256" s="91">
        <f t="shared" si="107"/>
        <v>0</v>
      </c>
      <c r="Q256" s="92" t="s">
        <v>770</v>
      </c>
      <c r="R256" s="92"/>
    </row>
    <row r="257" spans="1:18" ht="29" x14ac:dyDescent="0.35">
      <c r="A257" s="94">
        <v>44652</v>
      </c>
      <c r="B257" s="73">
        <f t="shared" si="114"/>
        <v>4</v>
      </c>
      <c r="C257" s="75">
        <f t="shared" si="115"/>
        <v>2022</v>
      </c>
      <c r="D257" s="123"/>
      <c r="E257" s="125" t="s">
        <v>690</v>
      </c>
      <c r="F257" s="107" t="s">
        <v>748</v>
      </c>
      <c r="G257" s="47" t="s">
        <v>748</v>
      </c>
      <c r="H257" s="111" t="s">
        <v>51</v>
      </c>
      <c r="I257" s="89">
        <v>3</v>
      </c>
      <c r="J257" s="110" t="s">
        <v>1</v>
      </c>
      <c r="K257" s="103">
        <v>258</v>
      </c>
      <c r="L257" s="90">
        <f t="shared" si="103"/>
        <v>774</v>
      </c>
      <c r="M257" s="7">
        <f t="shared" si="104"/>
        <v>1036201.9500000001</v>
      </c>
      <c r="N257" s="105" t="s">
        <v>771</v>
      </c>
      <c r="O257" s="88">
        <v>3</v>
      </c>
      <c r="P257" s="91">
        <f t="shared" si="107"/>
        <v>0</v>
      </c>
      <c r="Q257" s="92" t="s">
        <v>774</v>
      </c>
      <c r="R257" s="92"/>
    </row>
    <row r="258" spans="1:18" ht="43.5" x14ac:dyDescent="0.35">
      <c r="A258" s="94">
        <v>44655</v>
      </c>
      <c r="B258" s="73">
        <f t="shared" si="114"/>
        <v>4</v>
      </c>
      <c r="C258" s="75">
        <f t="shared" si="115"/>
        <v>2022</v>
      </c>
      <c r="D258" s="123"/>
      <c r="E258" s="125" t="s">
        <v>10</v>
      </c>
      <c r="F258" s="107" t="s">
        <v>29</v>
      </c>
      <c r="G258" s="47" t="s">
        <v>29</v>
      </c>
      <c r="H258" s="111" t="s">
        <v>47</v>
      </c>
      <c r="I258" s="89">
        <v>10</v>
      </c>
      <c r="J258" s="110" t="s">
        <v>0</v>
      </c>
      <c r="K258" s="103">
        <v>1870</v>
      </c>
      <c r="L258" s="90">
        <f t="shared" si="103"/>
        <v>18700</v>
      </c>
      <c r="M258" s="7">
        <f t="shared" si="104"/>
        <v>1054901.9500000002</v>
      </c>
      <c r="N258" s="127" t="s">
        <v>802</v>
      </c>
      <c r="O258" s="88">
        <f>3+2+2+3</f>
        <v>10</v>
      </c>
      <c r="P258" s="91">
        <f t="shared" si="107"/>
        <v>0</v>
      </c>
      <c r="Q258" s="92" t="s">
        <v>803</v>
      </c>
      <c r="R258" s="92"/>
    </row>
    <row r="259" spans="1:18" ht="29" x14ac:dyDescent="0.35">
      <c r="A259" s="94">
        <v>44656</v>
      </c>
      <c r="B259" s="73">
        <f t="shared" si="114"/>
        <v>4</v>
      </c>
      <c r="C259" s="75">
        <f t="shared" si="115"/>
        <v>2022</v>
      </c>
      <c r="D259" s="123"/>
      <c r="E259" s="125" t="s">
        <v>690</v>
      </c>
      <c r="F259" s="107" t="s">
        <v>733</v>
      </c>
      <c r="G259" s="47" t="s">
        <v>733</v>
      </c>
      <c r="H259" s="111" t="s">
        <v>47</v>
      </c>
      <c r="I259" s="89">
        <v>10</v>
      </c>
      <c r="J259" s="110" t="s">
        <v>1</v>
      </c>
      <c r="K259" s="103">
        <v>273</v>
      </c>
      <c r="L259" s="90">
        <f t="shared" si="103"/>
        <v>2730</v>
      </c>
      <c r="M259" s="7">
        <f t="shared" si="104"/>
        <v>1057631.9500000002</v>
      </c>
      <c r="N259" s="127" t="s">
        <v>793</v>
      </c>
      <c r="O259" s="88">
        <f>5+4+1</f>
        <v>10</v>
      </c>
      <c r="P259" s="91">
        <f t="shared" si="107"/>
        <v>0</v>
      </c>
      <c r="Q259" s="92" t="s">
        <v>794</v>
      </c>
      <c r="R259" s="92"/>
    </row>
    <row r="260" spans="1:18" ht="43.5" x14ac:dyDescent="0.35">
      <c r="A260" s="94">
        <v>44656</v>
      </c>
      <c r="B260" s="73">
        <f t="shared" si="114"/>
        <v>4</v>
      </c>
      <c r="C260" s="75">
        <f t="shared" si="115"/>
        <v>2022</v>
      </c>
      <c r="D260" s="123"/>
      <c r="E260" s="125" t="s">
        <v>690</v>
      </c>
      <c r="F260" s="107" t="s">
        <v>748</v>
      </c>
      <c r="G260" s="47" t="s">
        <v>748</v>
      </c>
      <c r="H260" s="111" t="s">
        <v>47</v>
      </c>
      <c r="I260" s="89">
        <v>14</v>
      </c>
      <c r="J260" s="110" t="s">
        <v>1</v>
      </c>
      <c r="K260" s="103">
        <v>258</v>
      </c>
      <c r="L260" s="90">
        <f t="shared" si="103"/>
        <v>3612</v>
      </c>
      <c r="M260" s="7">
        <f t="shared" si="104"/>
        <v>1061243.9500000002</v>
      </c>
      <c r="N260" s="127" t="s">
        <v>812</v>
      </c>
      <c r="O260" s="88">
        <f>3+3+6+2</f>
        <v>14</v>
      </c>
      <c r="P260" s="91">
        <f t="shared" si="107"/>
        <v>0</v>
      </c>
      <c r="Q260" s="92" t="s">
        <v>813</v>
      </c>
      <c r="R260" s="92"/>
    </row>
    <row r="261" spans="1:18" ht="43.5" x14ac:dyDescent="0.35">
      <c r="A261" s="94">
        <v>44656</v>
      </c>
      <c r="B261" s="73">
        <f t="shared" si="114"/>
        <v>4</v>
      </c>
      <c r="C261" s="75">
        <f t="shared" si="115"/>
        <v>2022</v>
      </c>
      <c r="D261" s="123"/>
      <c r="E261" s="125" t="s">
        <v>690</v>
      </c>
      <c r="F261" s="107" t="s">
        <v>769</v>
      </c>
      <c r="G261" s="47" t="s">
        <v>769</v>
      </c>
      <c r="H261" s="111" t="s">
        <v>47</v>
      </c>
      <c r="I261" s="89">
        <v>3</v>
      </c>
      <c r="J261" s="110" t="s">
        <v>18</v>
      </c>
      <c r="K261" s="103">
        <v>650</v>
      </c>
      <c r="L261" s="90">
        <f t="shared" si="103"/>
        <v>1950</v>
      </c>
      <c r="M261" s="7">
        <f t="shared" si="104"/>
        <v>1063193.9500000002</v>
      </c>
      <c r="N261" s="127" t="s">
        <v>817</v>
      </c>
      <c r="O261" s="88">
        <f>1+1+1</f>
        <v>3</v>
      </c>
      <c r="P261" s="91">
        <f t="shared" si="107"/>
        <v>0</v>
      </c>
      <c r="Q261" s="92" t="s">
        <v>818</v>
      </c>
      <c r="R261" s="92"/>
    </row>
    <row r="262" spans="1:18" ht="87" x14ac:dyDescent="0.35">
      <c r="A262" s="94">
        <v>44659</v>
      </c>
      <c r="B262" s="73">
        <f t="shared" si="114"/>
        <v>4</v>
      </c>
      <c r="C262" s="75">
        <f t="shared" si="115"/>
        <v>2022</v>
      </c>
      <c r="D262" s="123"/>
      <c r="E262" s="125" t="s">
        <v>10</v>
      </c>
      <c r="F262" s="107" t="s">
        <v>64</v>
      </c>
      <c r="G262" s="47" t="s">
        <v>64</v>
      </c>
      <c r="H262" s="111" t="s">
        <v>47</v>
      </c>
      <c r="I262" s="89">
        <v>15</v>
      </c>
      <c r="J262" s="110" t="s">
        <v>0</v>
      </c>
      <c r="K262" s="103">
        <v>1947</v>
      </c>
      <c r="L262" s="90">
        <f t="shared" si="103"/>
        <v>29205</v>
      </c>
      <c r="M262" s="7">
        <f t="shared" si="104"/>
        <v>1092398.9500000002</v>
      </c>
      <c r="N262" s="127" t="s">
        <v>835</v>
      </c>
      <c r="O262" s="88">
        <f>2+3+1+2+1+5+1</f>
        <v>15</v>
      </c>
      <c r="P262" s="91">
        <f t="shared" si="107"/>
        <v>0</v>
      </c>
      <c r="Q262" s="92" t="s">
        <v>836</v>
      </c>
      <c r="R262" s="92"/>
    </row>
    <row r="263" spans="1:18" ht="29" x14ac:dyDescent="0.35">
      <c r="A263" s="94">
        <v>44662</v>
      </c>
      <c r="B263" s="73">
        <f t="shared" si="114"/>
        <v>4</v>
      </c>
      <c r="C263" s="75">
        <f t="shared" si="115"/>
        <v>2022</v>
      </c>
      <c r="D263" s="123" t="s">
        <v>807</v>
      </c>
      <c r="E263" s="125" t="s">
        <v>307</v>
      </c>
      <c r="F263" s="107" t="s">
        <v>645</v>
      </c>
      <c r="G263" s="107" t="s">
        <v>645</v>
      </c>
      <c r="H263" s="111" t="s">
        <v>47</v>
      </c>
      <c r="I263" s="89">
        <v>4</v>
      </c>
      <c r="J263" s="110" t="s">
        <v>125</v>
      </c>
      <c r="K263" s="103">
        <v>320</v>
      </c>
      <c r="L263" s="90">
        <f t="shared" si="103"/>
        <v>1280</v>
      </c>
      <c r="M263" s="7">
        <f t="shared" si="104"/>
        <v>1093678.9500000002</v>
      </c>
      <c r="N263" s="127" t="s">
        <v>851</v>
      </c>
      <c r="O263" s="88">
        <f>1+1</f>
        <v>2</v>
      </c>
      <c r="P263" s="91">
        <f t="shared" si="107"/>
        <v>2</v>
      </c>
      <c r="Q263" s="92" t="s">
        <v>852</v>
      </c>
      <c r="R263" s="92"/>
    </row>
    <row r="264" spans="1:18" ht="29" x14ac:dyDescent="0.35">
      <c r="A264" s="94">
        <v>44663</v>
      </c>
      <c r="B264" s="73">
        <f t="shared" si="114"/>
        <v>4</v>
      </c>
      <c r="C264" s="75">
        <f t="shared" si="115"/>
        <v>2022</v>
      </c>
      <c r="D264" s="123" t="s">
        <v>796</v>
      </c>
      <c r="E264" s="125" t="s">
        <v>690</v>
      </c>
      <c r="F264" s="107" t="s">
        <v>795</v>
      </c>
      <c r="G264" s="47" t="s">
        <v>795</v>
      </c>
      <c r="H264" s="111" t="s">
        <v>51</v>
      </c>
      <c r="I264" s="89">
        <v>2</v>
      </c>
      <c r="J264" s="110" t="s">
        <v>125</v>
      </c>
      <c r="K264" s="103">
        <v>69.5</v>
      </c>
      <c r="L264" s="90">
        <f t="shared" ref="L264:L286" si="116">SUM(I264*K264)</f>
        <v>139</v>
      </c>
      <c r="M264" s="7">
        <f t="shared" si="104"/>
        <v>1093817.9500000002</v>
      </c>
      <c r="N264" s="105" t="s">
        <v>797</v>
      </c>
      <c r="O264" s="88">
        <v>2</v>
      </c>
      <c r="P264" s="91">
        <f t="shared" si="107"/>
        <v>0</v>
      </c>
      <c r="Q264" s="92" t="s">
        <v>798</v>
      </c>
      <c r="R264" s="92"/>
    </row>
    <row r="265" spans="1:18" ht="29" x14ac:dyDescent="0.35">
      <c r="A265" s="94">
        <v>44664</v>
      </c>
      <c r="B265" s="73">
        <f t="shared" si="114"/>
        <v>4</v>
      </c>
      <c r="C265" s="75">
        <f t="shared" si="115"/>
        <v>2022</v>
      </c>
      <c r="D265" s="123" t="s">
        <v>806</v>
      </c>
      <c r="E265" s="125" t="s">
        <v>690</v>
      </c>
      <c r="F265" s="107" t="s">
        <v>799</v>
      </c>
      <c r="G265" s="107" t="s">
        <v>799</v>
      </c>
      <c r="H265" s="111" t="s">
        <v>51</v>
      </c>
      <c r="I265" s="89">
        <v>5</v>
      </c>
      <c r="J265" s="110" t="s">
        <v>1</v>
      </c>
      <c r="K265" s="103">
        <v>491.4</v>
      </c>
      <c r="L265" s="90">
        <f t="shared" si="116"/>
        <v>2457</v>
      </c>
      <c r="M265" s="7">
        <f t="shared" si="104"/>
        <v>1096274.9500000002</v>
      </c>
      <c r="N265" s="105" t="s">
        <v>800</v>
      </c>
      <c r="O265" s="88">
        <v>5</v>
      </c>
      <c r="P265" s="91">
        <f t="shared" si="107"/>
        <v>0</v>
      </c>
      <c r="Q265" s="92" t="s">
        <v>801</v>
      </c>
      <c r="R265" s="92"/>
    </row>
    <row r="266" spans="1:18" ht="43.5" x14ac:dyDescent="0.35">
      <c r="A266" s="94">
        <v>44664</v>
      </c>
      <c r="B266" s="73">
        <f t="shared" si="114"/>
        <v>4</v>
      </c>
      <c r="C266" s="75">
        <f t="shared" si="115"/>
        <v>2022</v>
      </c>
      <c r="D266" s="123" t="s">
        <v>804</v>
      </c>
      <c r="E266" s="125" t="s">
        <v>690</v>
      </c>
      <c r="F266" s="107" t="s">
        <v>733</v>
      </c>
      <c r="G266" s="47" t="s">
        <v>733</v>
      </c>
      <c r="H266" s="111" t="s">
        <v>47</v>
      </c>
      <c r="I266" s="89">
        <v>10</v>
      </c>
      <c r="J266" s="110" t="s">
        <v>1</v>
      </c>
      <c r="K266" s="103">
        <v>273</v>
      </c>
      <c r="L266" s="90">
        <f t="shared" si="116"/>
        <v>2730</v>
      </c>
      <c r="M266" s="7">
        <f t="shared" si="104"/>
        <v>1099004.9500000002</v>
      </c>
      <c r="N266" s="127" t="s">
        <v>808</v>
      </c>
      <c r="O266" s="88">
        <f>2+5+3</f>
        <v>10</v>
      </c>
      <c r="P266" s="91">
        <f t="shared" si="107"/>
        <v>0</v>
      </c>
      <c r="Q266" s="92" t="s">
        <v>809</v>
      </c>
      <c r="R266" s="92"/>
    </row>
    <row r="267" spans="1:18" ht="29" x14ac:dyDescent="0.35">
      <c r="A267" s="94">
        <v>44664</v>
      </c>
      <c r="B267" s="73">
        <f t="shared" ref="B267:B269" si="117">MONTH(A267)</f>
        <v>4</v>
      </c>
      <c r="C267" s="75">
        <f t="shared" ref="C267:C269" si="118">YEAR(A267)</f>
        <v>2022</v>
      </c>
      <c r="D267" s="123" t="s">
        <v>804</v>
      </c>
      <c r="E267" s="125" t="s">
        <v>690</v>
      </c>
      <c r="F267" s="107" t="s">
        <v>748</v>
      </c>
      <c r="G267" s="47" t="s">
        <v>748</v>
      </c>
      <c r="H267" s="111" t="s">
        <v>47</v>
      </c>
      <c r="I267" s="89">
        <v>2</v>
      </c>
      <c r="J267" s="110" t="s">
        <v>1</v>
      </c>
      <c r="K267" s="103">
        <v>258</v>
      </c>
      <c r="L267" s="90">
        <f t="shared" si="116"/>
        <v>516</v>
      </c>
      <c r="M267" s="7">
        <f t="shared" si="104"/>
        <v>1099520.9500000002</v>
      </c>
      <c r="N267" s="105" t="s">
        <v>810</v>
      </c>
      <c r="O267" s="88">
        <v>2</v>
      </c>
      <c r="P267" s="91">
        <f t="shared" si="107"/>
        <v>0</v>
      </c>
      <c r="Q267" s="108" t="s">
        <v>814</v>
      </c>
      <c r="R267" s="92"/>
    </row>
    <row r="268" spans="1:18" ht="29" x14ac:dyDescent="0.35">
      <c r="A268" s="94">
        <v>44664</v>
      </c>
      <c r="B268" s="73">
        <f t="shared" si="117"/>
        <v>4</v>
      </c>
      <c r="C268" s="75">
        <f t="shared" si="118"/>
        <v>2022</v>
      </c>
      <c r="D268" s="123" t="s">
        <v>804</v>
      </c>
      <c r="E268" s="125" t="s">
        <v>690</v>
      </c>
      <c r="F268" s="107" t="s">
        <v>799</v>
      </c>
      <c r="G268" s="47" t="s">
        <v>799</v>
      </c>
      <c r="H268" s="111" t="s">
        <v>47</v>
      </c>
      <c r="I268" s="89">
        <v>16</v>
      </c>
      <c r="J268" s="110" t="s">
        <v>1</v>
      </c>
      <c r="K268" s="103">
        <v>491.4</v>
      </c>
      <c r="L268" s="90">
        <f t="shared" si="116"/>
        <v>7862.4</v>
      </c>
      <c r="M268" s="7">
        <f t="shared" si="104"/>
        <v>1107383.3500000001</v>
      </c>
      <c r="N268" s="127" t="s">
        <v>849</v>
      </c>
      <c r="O268" s="88">
        <f>2+2</f>
        <v>4</v>
      </c>
      <c r="P268" s="91">
        <f t="shared" si="107"/>
        <v>12</v>
      </c>
      <c r="Q268" s="92" t="s">
        <v>850</v>
      </c>
      <c r="R268" s="92"/>
    </row>
    <row r="269" spans="1:18" ht="43.5" x14ac:dyDescent="0.35">
      <c r="A269" s="94">
        <v>44665</v>
      </c>
      <c r="B269" s="73">
        <f t="shared" si="117"/>
        <v>4</v>
      </c>
      <c r="C269" s="75">
        <f t="shared" si="118"/>
        <v>2022</v>
      </c>
      <c r="D269" s="123" t="s">
        <v>805</v>
      </c>
      <c r="E269" s="125" t="s">
        <v>429</v>
      </c>
      <c r="F269" s="107" t="s">
        <v>767</v>
      </c>
      <c r="G269" s="47" t="s">
        <v>767</v>
      </c>
      <c r="H269" s="111" t="s">
        <v>51</v>
      </c>
      <c r="I269" s="89">
        <v>20</v>
      </c>
      <c r="J269" s="110" t="s">
        <v>25</v>
      </c>
      <c r="K269" s="103">
        <v>55</v>
      </c>
      <c r="L269" s="90">
        <f t="shared" si="116"/>
        <v>1100</v>
      </c>
      <c r="M269" s="7">
        <f t="shared" si="104"/>
        <v>1108483.3500000001</v>
      </c>
      <c r="N269" s="127" t="s">
        <v>845</v>
      </c>
      <c r="O269" s="88">
        <f>2+1+2</f>
        <v>5</v>
      </c>
      <c r="P269" s="91">
        <f t="shared" si="107"/>
        <v>15</v>
      </c>
      <c r="Q269" s="92" t="s">
        <v>846</v>
      </c>
      <c r="R269" s="92"/>
    </row>
    <row r="270" spans="1:18" ht="116" x14ac:dyDescent="0.35">
      <c r="A270" s="94">
        <v>44665</v>
      </c>
      <c r="B270" s="73">
        <f t="shared" ref="B270:B271" si="119">MONTH(A270)</f>
        <v>4</v>
      </c>
      <c r="C270" s="75">
        <f t="shared" ref="C270:C271" si="120">YEAR(A270)</f>
        <v>2022</v>
      </c>
      <c r="D270" s="123"/>
      <c r="E270" s="125" t="s">
        <v>690</v>
      </c>
      <c r="F270" s="107" t="s">
        <v>733</v>
      </c>
      <c r="G270" s="47" t="s">
        <v>733</v>
      </c>
      <c r="H270" s="111" t="s">
        <v>47</v>
      </c>
      <c r="I270" s="89">
        <v>40</v>
      </c>
      <c r="J270" s="110" t="s">
        <v>1</v>
      </c>
      <c r="K270" s="103">
        <v>276</v>
      </c>
      <c r="L270" s="90">
        <f t="shared" si="116"/>
        <v>11040</v>
      </c>
      <c r="M270" s="7">
        <f t="shared" si="104"/>
        <v>1119523.3500000001</v>
      </c>
      <c r="N270" s="127" t="s">
        <v>847</v>
      </c>
      <c r="O270" s="88">
        <f>4+9+6+1+8+3+4+5</f>
        <v>40</v>
      </c>
      <c r="P270" s="91">
        <f t="shared" si="107"/>
        <v>0</v>
      </c>
      <c r="Q270" s="92" t="s">
        <v>848</v>
      </c>
      <c r="R270" s="92"/>
    </row>
    <row r="271" spans="1:18" ht="14.5" customHeight="1" x14ac:dyDescent="0.35">
      <c r="A271" s="94">
        <v>44667</v>
      </c>
      <c r="B271" s="73">
        <f t="shared" si="119"/>
        <v>4</v>
      </c>
      <c r="C271" s="75">
        <f t="shared" si="120"/>
        <v>2022</v>
      </c>
      <c r="D271" s="123"/>
      <c r="E271" s="125" t="s">
        <v>690</v>
      </c>
      <c r="F271" s="107" t="s">
        <v>822</v>
      </c>
      <c r="G271" s="47" t="s">
        <v>822</v>
      </c>
      <c r="H271" s="111" t="s">
        <v>47</v>
      </c>
      <c r="I271" s="89">
        <v>3</v>
      </c>
      <c r="J271" s="110" t="s">
        <v>0</v>
      </c>
      <c r="K271" s="103">
        <v>1870</v>
      </c>
      <c r="L271" s="90">
        <f t="shared" si="116"/>
        <v>5610</v>
      </c>
      <c r="M271" s="7">
        <f t="shared" si="104"/>
        <v>1125133.3500000001</v>
      </c>
      <c r="N271" s="105" t="s">
        <v>810</v>
      </c>
      <c r="O271" s="88">
        <f>3</f>
        <v>3</v>
      </c>
      <c r="P271" s="91">
        <f t="shared" si="107"/>
        <v>0</v>
      </c>
      <c r="Q271" s="92" t="s">
        <v>811</v>
      </c>
      <c r="R271" s="92"/>
    </row>
    <row r="272" spans="1:18" ht="14.5" customHeight="1" x14ac:dyDescent="0.35">
      <c r="A272" s="94">
        <v>44671</v>
      </c>
      <c r="B272" s="73">
        <f t="shared" ref="B272:B280" si="121">MONTH(A272)</f>
        <v>4</v>
      </c>
      <c r="C272" s="75">
        <f t="shared" ref="C272:C280" si="122">YEAR(A272)</f>
        <v>2022</v>
      </c>
      <c r="D272" s="123" t="s">
        <v>821</v>
      </c>
      <c r="E272" s="125" t="s">
        <v>690</v>
      </c>
      <c r="F272" s="107" t="s">
        <v>823</v>
      </c>
      <c r="G272" s="107" t="s">
        <v>823</v>
      </c>
      <c r="H272" s="111" t="s">
        <v>47</v>
      </c>
      <c r="I272" s="89">
        <v>15</v>
      </c>
      <c r="J272" s="110" t="s">
        <v>0</v>
      </c>
      <c r="K272" s="103">
        <v>1892</v>
      </c>
      <c r="L272" s="90">
        <f t="shared" si="116"/>
        <v>28380</v>
      </c>
      <c r="M272" s="7">
        <f t="shared" si="104"/>
        <v>1153513.3500000001</v>
      </c>
      <c r="N272" s="105" t="s">
        <v>843</v>
      </c>
      <c r="O272" s="88">
        <f>2</f>
        <v>2</v>
      </c>
      <c r="P272" s="91">
        <f t="shared" si="107"/>
        <v>13</v>
      </c>
      <c r="Q272" s="92" t="s">
        <v>844</v>
      </c>
      <c r="R272" s="92"/>
    </row>
    <row r="273" spans="1:18" ht="87" x14ac:dyDescent="0.35">
      <c r="A273" s="94">
        <v>44671</v>
      </c>
      <c r="B273" s="73">
        <f t="shared" si="121"/>
        <v>4</v>
      </c>
      <c r="C273" s="75">
        <f t="shared" si="122"/>
        <v>2022</v>
      </c>
      <c r="D273" s="123" t="s">
        <v>821</v>
      </c>
      <c r="E273" s="125" t="s">
        <v>690</v>
      </c>
      <c r="F273" s="107" t="s">
        <v>822</v>
      </c>
      <c r="G273" s="107" t="s">
        <v>822</v>
      </c>
      <c r="H273" s="111" t="s">
        <v>47</v>
      </c>
      <c r="I273" s="89">
        <v>20</v>
      </c>
      <c r="J273" s="110" t="s">
        <v>0</v>
      </c>
      <c r="K273" s="103">
        <v>1870</v>
      </c>
      <c r="L273" s="90">
        <f t="shared" si="116"/>
        <v>37400</v>
      </c>
      <c r="M273" s="7">
        <f t="shared" si="104"/>
        <v>1190913.3500000001</v>
      </c>
      <c r="N273" s="127" t="s">
        <v>868</v>
      </c>
      <c r="O273" s="88">
        <f>5+3+1+5+3+1</f>
        <v>18</v>
      </c>
      <c r="P273" s="91">
        <f t="shared" si="107"/>
        <v>2</v>
      </c>
      <c r="Q273" s="92" t="s">
        <v>867</v>
      </c>
      <c r="R273" s="92"/>
    </row>
    <row r="274" spans="1:18" ht="14.5" customHeight="1" x14ac:dyDescent="0.35">
      <c r="A274" s="94">
        <v>44673</v>
      </c>
      <c r="B274" s="73">
        <f t="shared" si="121"/>
        <v>4</v>
      </c>
      <c r="C274" s="75">
        <f t="shared" si="122"/>
        <v>2022</v>
      </c>
      <c r="D274" s="123"/>
      <c r="E274" s="125" t="s">
        <v>690</v>
      </c>
      <c r="F274" s="107" t="s">
        <v>691</v>
      </c>
      <c r="G274" s="107" t="s">
        <v>691</v>
      </c>
      <c r="H274" s="111" t="s">
        <v>51</v>
      </c>
      <c r="I274" s="89">
        <v>1</v>
      </c>
      <c r="J274" s="110" t="s">
        <v>0</v>
      </c>
      <c r="K274" s="103">
        <v>1870</v>
      </c>
      <c r="L274" s="90">
        <f t="shared" si="116"/>
        <v>1870</v>
      </c>
      <c r="M274" s="7">
        <f t="shared" si="104"/>
        <v>1192783.3500000001</v>
      </c>
      <c r="N274" s="105" t="s">
        <v>829</v>
      </c>
      <c r="O274" s="88">
        <v>1</v>
      </c>
      <c r="P274" s="91">
        <f t="shared" si="107"/>
        <v>0</v>
      </c>
      <c r="Q274" s="92" t="s">
        <v>830</v>
      </c>
      <c r="R274" s="92"/>
    </row>
    <row r="275" spans="1:18" ht="29" x14ac:dyDescent="0.35">
      <c r="A275" s="94">
        <v>44673</v>
      </c>
      <c r="B275" s="73">
        <f t="shared" si="121"/>
        <v>4</v>
      </c>
      <c r="C275" s="75">
        <f t="shared" si="122"/>
        <v>2022</v>
      </c>
      <c r="D275" s="123"/>
      <c r="E275" s="125" t="s">
        <v>690</v>
      </c>
      <c r="F275" s="107" t="s">
        <v>869</v>
      </c>
      <c r="G275" s="107" t="s">
        <v>869</v>
      </c>
      <c r="H275" s="111" t="s">
        <v>51</v>
      </c>
      <c r="I275" s="89">
        <v>3</v>
      </c>
      <c r="J275" s="110" t="s">
        <v>217</v>
      </c>
      <c r="K275" s="103">
        <v>370</v>
      </c>
      <c r="L275" s="90">
        <f t="shared" si="116"/>
        <v>1110</v>
      </c>
      <c r="M275" s="7">
        <f t="shared" si="104"/>
        <v>1193893.3500000001</v>
      </c>
      <c r="N275" s="105"/>
      <c r="O275" s="88"/>
      <c r="P275" s="91">
        <f t="shared" si="107"/>
        <v>3</v>
      </c>
      <c r="Q275" s="92"/>
      <c r="R275" s="92"/>
    </row>
    <row r="276" spans="1:18" ht="43.5" x14ac:dyDescent="0.35">
      <c r="A276" s="94">
        <v>44673</v>
      </c>
      <c r="B276" s="73">
        <f t="shared" si="121"/>
        <v>4</v>
      </c>
      <c r="C276" s="75">
        <f t="shared" si="122"/>
        <v>2022</v>
      </c>
      <c r="D276" s="123"/>
      <c r="E276" s="125" t="s">
        <v>10</v>
      </c>
      <c r="F276" s="107" t="s">
        <v>28</v>
      </c>
      <c r="G276" s="107" t="s">
        <v>28</v>
      </c>
      <c r="H276" s="111" t="s">
        <v>47</v>
      </c>
      <c r="I276" s="89">
        <v>40</v>
      </c>
      <c r="J276" s="110" t="s">
        <v>217</v>
      </c>
      <c r="K276" s="103">
        <v>32.5</v>
      </c>
      <c r="L276" s="90">
        <f t="shared" si="116"/>
        <v>1300</v>
      </c>
      <c r="M276" s="7">
        <f t="shared" si="104"/>
        <v>1195193.3500000001</v>
      </c>
      <c r="N276" s="127" t="s">
        <v>862</v>
      </c>
      <c r="O276" s="88">
        <f>3+5+4</f>
        <v>12</v>
      </c>
      <c r="P276" s="91">
        <f t="shared" si="107"/>
        <v>28</v>
      </c>
      <c r="Q276" s="92" t="s">
        <v>863</v>
      </c>
      <c r="R276" s="92"/>
    </row>
    <row r="277" spans="1:18" ht="43.5" x14ac:dyDescent="0.35">
      <c r="A277" s="94">
        <v>44673</v>
      </c>
      <c r="B277" s="73">
        <f t="shared" si="121"/>
        <v>4</v>
      </c>
      <c r="C277" s="75">
        <f t="shared" si="122"/>
        <v>2022</v>
      </c>
      <c r="D277" s="123"/>
      <c r="E277" s="125" t="s">
        <v>10</v>
      </c>
      <c r="F277" s="107" t="s">
        <v>19</v>
      </c>
      <c r="G277" s="47" t="s">
        <v>19</v>
      </c>
      <c r="H277" s="111" t="s">
        <v>47</v>
      </c>
      <c r="I277" s="89">
        <v>20</v>
      </c>
      <c r="J277" s="110" t="s">
        <v>25</v>
      </c>
      <c r="K277" s="103">
        <v>95</v>
      </c>
      <c r="L277" s="90">
        <f t="shared" si="116"/>
        <v>1900</v>
      </c>
      <c r="M277" s="7">
        <f t="shared" si="104"/>
        <v>1197093.3500000001</v>
      </c>
      <c r="N277" s="127" t="s">
        <v>853</v>
      </c>
      <c r="O277" s="88">
        <f>2+12+2</f>
        <v>16</v>
      </c>
      <c r="P277" s="91">
        <f t="shared" si="107"/>
        <v>4</v>
      </c>
      <c r="Q277" s="92" t="s">
        <v>854</v>
      </c>
      <c r="R277" s="92"/>
    </row>
    <row r="278" spans="1:18" ht="58" x14ac:dyDescent="0.35">
      <c r="A278" s="94">
        <v>44673</v>
      </c>
      <c r="B278" s="73">
        <f t="shared" si="121"/>
        <v>4</v>
      </c>
      <c r="C278" s="75">
        <f t="shared" si="122"/>
        <v>2022</v>
      </c>
      <c r="D278" s="123"/>
      <c r="E278" s="125" t="s">
        <v>10</v>
      </c>
      <c r="F278" s="107" t="s">
        <v>824</v>
      </c>
      <c r="G278" s="47" t="s">
        <v>824</v>
      </c>
      <c r="H278" s="111" t="s">
        <v>47</v>
      </c>
      <c r="I278" s="89">
        <v>20</v>
      </c>
      <c r="J278" s="110" t="s">
        <v>1</v>
      </c>
      <c r="K278" s="103">
        <v>288</v>
      </c>
      <c r="L278" s="90">
        <f t="shared" si="116"/>
        <v>5760</v>
      </c>
      <c r="M278" s="7">
        <f t="shared" si="104"/>
        <v>1202853.3500000001</v>
      </c>
      <c r="N278" s="127" t="s">
        <v>860</v>
      </c>
      <c r="O278" s="88">
        <f>4+2+5+6</f>
        <v>17</v>
      </c>
      <c r="P278" s="91">
        <f t="shared" si="107"/>
        <v>3</v>
      </c>
      <c r="Q278" s="92" t="s">
        <v>861</v>
      </c>
      <c r="R278" s="92"/>
    </row>
    <row r="279" spans="1:18" ht="43.5" x14ac:dyDescent="0.35">
      <c r="A279" s="94">
        <v>44673</v>
      </c>
      <c r="B279" s="73">
        <f t="shared" si="121"/>
        <v>4</v>
      </c>
      <c r="C279" s="75">
        <f t="shared" si="122"/>
        <v>2022</v>
      </c>
      <c r="D279" s="123"/>
      <c r="E279" s="125" t="s">
        <v>690</v>
      </c>
      <c r="F279" s="107" t="s">
        <v>769</v>
      </c>
      <c r="G279" s="107" t="s">
        <v>769</v>
      </c>
      <c r="H279" s="111" t="s">
        <v>51</v>
      </c>
      <c r="I279" s="89">
        <v>1</v>
      </c>
      <c r="J279" s="110" t="s">
        <v>18</v>
      </c>
      <c r="K279" s="103">
        <v>650</v>
      </c>
      <c r="L279" s="90">
        <f t="shared" si="116"/>
        <v>650</v>
      </c>
      <c r="M279" s="7">
        <f t="shared" si="104"/>
        <v>1203503.3500000001</v>
      </c>
      <c r="N279" s="105" t="s">
        <v>839</v>
      </c>
      <c r="O279" s="88">
        <v>1</v>
      </c>
      <c r="P279" s="91">
        <f t="shared" si="107"/>
        <v>0</v>
      </c>
      <c r="Q279" s="92" t="s">
        <v>840</v>
      </c>
      <c r="R279" s="92"/>
    </row>
    <row r="280" spans="1:18" ht="29" x14ac:dyDescent="0.35">
      <c r="A280" s="94">
        <v>44678</v>
      </c>
      <c r="B280" s="73">
        <f t="shared" si="121"/>
        <v>4</v>
      </c>
      <c r="C280" s="75">
        <f t="shared" si="122"/>
        <v>2022</v>
      </c>
      <c r="D280" s="123"/>
      <c r="E280" s="125" t="s">
        <v>10</v>
      </c>
      <c r="F280" s="107" t="s">
        <v>826</v>
      </c>
      <c r="G280" s="47" t="s">
        <v>826</v>
      </c>
      <c r="H280" s="111" t="s">
        <v>47</v>
      </c>
      <c r="I280" s="89">
        <v>10</v>
      </c>
      <c r="J280" s="110" t="s">
        <v>0</v>
      </c>
      <c r="K280" s="103">
        <v>1870</v>
      </c>
      <c r="L280" s="90">
        <f t="shared" si="116"/>
        <v>18700</v>
      </c>
      <c r="M280" s="7">
        <f t="shared" si="104"/>
        <v>1222203.3500000001</v>
      </c>
      <c r="N280" s="127" t="s">
        <v>857</v>
      </c>
      <c r="O280" s="88">
        <f>1+4</f>
        <v>5</v>
      </c>
      <c r="P280" s="91">
        <f t="shared" si="107"/>
        <v>5</v>
      </c>
      <c r="Q280" s="92" t="s">
        <v>858</v>
      </c>
      <c r="R280" s="92"/>
    </row>
    <row r="281" spans="1:18" ht="14.5" customHeight="1" x14ac:dyDescent="0.35">
      <c r="A281" s="94">
        <v>44678</v>
      </c>
      <c r="B281" s="73">
        <f t="shared" ref="B281:B286" si="123">MONTH(A281)</f>
        <v>4</v>
      </c>
      <c r="C281" s="75">
        <f t="shared" ref="C281:C286" si="124">YEAR(A281)</f>
        <v>2022</v>
      </c>
      <c r="D281" s="123"/>
      <c r="E281" s="125" t="s">
        <v>10</v>
      </c>
      <c r="F281" s="107" t="s">
        <v>19</v>
      </c>
      <c r="G281" s="47" t="s">
        <v>19</v>
      </c>
      <c r="H281" s="111" t="s">
        <v>47</v>
      </c>
      <c r="I281" s="89">
        <v>20</v>
      </c>
      <c r="J281" s="110" t="s">
        <v>25</v>
      </c>
      <c r="K281" s="103">
        <v>95</v>
      </c>
      <c r="L281" s="90">
        <f t="shared" si="116"/>
        <v>1900</v>
      </c>
      <c r="M281" s="7">
        <f t="shared" si="104"/>
        <v>1224103.3500000001</v>
      </c>
      <c r="N281" s="105"/>
      <c r="O281" s="88"/>
      <c r="P281" s="91">
        <f t="shared" si="107"/>
        <v>20</v>
      </c>
      <c r="Q281" s="92"/>
      <c r="R281" s="92"/>
    </row>
    <row r="282" spans="1:18" ht="29" x14ac:dyDescent="0.35">
      <c r="A282" s="94">
        <v>44678</v>
      </c>
      <c r="B282" s="73">
        <f t="shared" si="123"/>
        <v>4</v>
      </c>
      <c r="C282" s="75">
        <f t="shared" si="124"/>
        <v>2022</v>
      </c>
      <c r="D282" s="123"/>
      <c r="E282" s="125" t="s">
        <v>10</v>
      </c>
      <c r="F282" s="107" t="s">
        <v>824</v>
      </c>
      <c r="G282" s="47" t="s">
        <v>824</v>
      </c>
      <c r="H282" s="111" t="s">
        <v>47</v>
      </c>
      <c r="I282" s="89">
        <v>20</v>
      </c>
      <c r="J282" s="110" t="s">
        <v>1</v>
      </c>
      <c r="K282" s="103">
        <v>288</v>
      </c>
      <c r="L282" s="90">
        <f t="shared" si="116"/>
        <v>5760</v>
      </c>
      <c r="M282" s="7">
        <f t="shared" si="104"/>
        <v>1229863.3500000001</v>
      </c>
      <c r="N282" s="105"/>
      <c r="O282" s="88"/>
      <c r="P282" s="91">
        <f t="shared" si="107"/>
        <v>20</v>
      </c>
      <c r="Q282" s="92"/>
      <c r="R282" s="92"/>
    </row>
    <row r="283" spans="1:18" ht="29" x14ac:dyDescent="0.35">
      <c r="A283" s="94">
        <v>44678</v>
      </c>
      <c r="B283" s="73">
        <f t="shared" si="123"/>
        <v>4</v>
      </c>
      <c r="C283" s="75">
        <f t="shared" si="124"/>
        <v>2022</v>
      </c>
      <c r="D283" s="123"/>
      <c r="E283" s="125" t="s">
        <v>690</v>
      </c>
      <c r="F283" s="107" t="s">
        <v>822</v>
      </c>
      <c r="G283" s="47" t="s">
        <v>822</v>
      </c>
      <c r="H283" s="111" t="s">
        <v>47</v>
      </c>
      <c r="I283" s="89">
        <v>5</v>
      </c>
      <c r="J283" s="110" t="s">
        <v>0</v>
      </c>
      <c r="K283" s="103">
        <v>1870</v>
      </c>
      <c r="L283" s="90">
        <f t="shared" si="116"/>
        <v>9350</v>
      </c>
      <c r="M283" s="7">
        <f t="shared" si="104"/>
        <v>1239213.3500000001</v>
      </c>
      <c r="N283" s="105"/>
      <c r="O283" s="88"/>
      <c r="P283" s="91">
        <f t="shared" si="107"/>
        <v>5</v>
      </c>
      <c r="Q283" s="92"/>
      <c r="R283" s="92"/>
    </row>
    <row r="284" spans="1:18" ht="29" x14ac:dyDescent="0.35">
      <c r="A284" s="94">
        <v>44678</v>
      </c>
      <c r="B284" s="73">
        <f t="shared" si="123"/>
        <v>4</v>
      </c>
      <c r="C284" s="75">
        <f t="shared" si="124"/>
        <v>2022</v>
      </c>
      <c r="D284" s="123"/>
      <c r="E284" s="125" t="s">
        <v>690</v>
      </c>
      <c r="F284" s="107" t="s">
        <v>733</v>
      </c>
      <c r="G284" s="47" t="s">
        <v>733</v>
      </c>
      <c r="H284" s="111" t="s">
        <v>47</v>
      </c>
      <c r="I284" s="89">
        <v>20</v>
      </c>
      <c r="J284" s="110" t="s">
        <v>1</v>
      </c>
      <c r="K284" s="103">
        <v>276</v>
      </c>
      <c r="L284" s="90">
        <f t="shared" si="116"/>
        <v>5520</v>
      </c>
      <c r="M284" s="7">
        <f t="shared" si="104"/>
        <v>1244733.3500000001</v>
      </c>
      <c r="N284" s="127" t="s">
        <v>857</v>
      </c>
      <c r="O284" s="88">
        <f>4+12</f>
        <v>16</v>
      </c>
      <c r="P284" s="91">
        <f t="shared" si="107"/>
        <v>4</v>
      </c>
      <c r="Q284" s="92" t="s">
        <v>859</v>
      </c>
      <c r="R284" s="92"/>
    </row>
    <row r="285" spans="1:18" ht="43.5" x14ac:dyDescent="0.35">
      <c r="A285" s="94">
        <v>44678</v>
      </c>
      <c r="B285" s="73">
        <f t="shared" si="123"/>
        <v>4</v>
      </c>
      <c r="C285" s="75">
        <f t="shared" si="124"/>
        <v>2022</v>
      </c>
      <c r="D285" s="123"/>
      <c r="E285" s="125" t="s">
        <v>690</v>
      </c>
      <c r="F285" s="107" t="s">
        <v>769</v>
      </c>
      <c r="G285" s="47" t="s">
        <v>769</v>
      </c>
      <c r="H285" s="111" t="s">
        <v>47</v>
      </c>
      <c r="I285" s="89">
        <v>4</v>
      </c>
      <c r="J285" s="110" t="s">
        <v>18</v>
      </c>
      <c r="K285" s="103">
        <v>650</v>
      </c>
      <c r="L285" s="90">
        <f t="shared" si="116"/>
        <v>2600</v>
      </c>
      <c r="M285" s="7">
        <f t="shared" si="104"/>
        <v>1247333.3500000001</v>
      </c>
      <c r="N285" s="127" t="s">
        <v>857</v>
      </c>
      <c r="O285" s="88">
        <f>1+1</f>
        <v>2</v>
      </c>
      <c r="P285" s="91">
        <f t="shared" si="107"/>
        <v>2</v>
      </c>
      <c r="Q285" s="92" t="s">
        <v>864</v>
      </c>
      <c r="R285" s="92"/>
    </row>
    <row r="286" spans="1:18" ht="43.5" x14ac:dyDescent="0.35">
      <c r="A286" s="94">
        <v>44680</v>
      </c>
      <c r="B286" s="73">
        <f t="shared" si="123"/>
        <v>4</v>
      </c>
      <c r="C286" s="75">
        <f t="shared" si="124"/>
        <v>2022</v>
      </c>
      <c r="D286" s="123"/>
      <c r="E286" s="125" t="s">
        <v>690</v>
      </c>
      <c r="F286" s="107" t="s">
        <v>828</v>
      </c>
      <c r="G286" s="141" t="s">
        <v>828</v>
      </c>
      <c r="H286" s="111" t="s">
        <v>47</v>
      </c>
      <c r="I286" s="89">
        <v>1</v>
      </c>
      <c r="J286" s="110" t="s">
        <v>827</v>
      </c>
      <c r="K286" s="103">
        <v>1092.3</v>
      </c>
      <c r="L286" s="90">
        <f t="shared" si="116"/>
        <v>1092.3</v>
      </c>
      <c r="M286" s="7">
        <f t="shared" si="104"/>
        <v>1248425.6500000001</v>
      </c>
      <c r="N286" s="105" t="s">
        <v>855</v>
      </c>
      <c r="O286" s="88">
        <v>1</v>
      </c>
      <c r="P286" s="91">
        <f t="shared" si="107"/>
        <v>0</v>
      </c>
      <c r="Q286" s="92" t="s">
        <v>856</v>
      </c>
      <c r="R286" s="92"/>
    </row>
    <row r="287" spans="1:18" ht="14.5" customHeight="1" x14ac:dyDescent="0.35">
      <c r="A287" s="94"/>
      <c r="B287" s="73"/>
      <c r="C287" s="75"/>
      <c r="D287" s="123"/>
      <c r="E287" s="125"/>
      <c r="F287" s="107"/>
      <c r="G287" s="47"/>
      <c r="H287" s="111"/>
      <c r="I287" s="89"/>
      <c r="J287" s="110"/>
      <c r="K287" s="103"/>
      <c r="L287" s="90"/>
      <c r="M287" s="7"/>
      <c r="N287" s="105"/>
      <c r="O287" s="88"/>
      <c r="P287" s="91"/>
      <c r="Q287" s="92"/>
      <c r="R287" s="92"/>
    </row>
    <row r="288" spans="1:18" ht="14.5" customHeight="1" x14ac:dyDescent="0.35">
      <c r="A288" s="94"/>
      <c r="B288" s="73"/>
      <c r="C288" s="75"/>
      <c r="D288" s="123"/>
      <c r="E288" s="125"/>
      <c r="F288" s="107"/>
      <c r="G288" s="47"/>
      <c r="H288" s="111"/>
      <c r="I288" s="89"/>
      <c r="J288" s="110"/>
      <c r="K288" s="103"/>
      <c r="L288" s="90"/>
      <c r="M288" s="7"/>
      <c r="N288" s="105"/>
      <c r="O288" s="88"/>
      <c r="P288" s="91"/>
      <c r="Q288" s="92"/>
      <c r="R288" s="92"/>
    </row>
    <row r="289" spans="1:18" ht="14.5" customHeight="1" x14ac:dyDescent="0.35">
      <c r="A289" s="94"/>
      <c r="B289" s="73"/>
      <c r="C289" s="75"/>
      <c r="D289" s="123"/>
      <c r="E289" s="125"/>
      <c r="F289" s="107"/>
      <c r="G289" s="47"/>
      <c r="H289" s="111"/>
      <c r="I289" s="89"/>
      <c r="J289" s="110"/>
      <c r="K289" s="103"/>
      <c r="L289" s="90"/>
      <c r="M289" s="7"/>
      <c r="N289" s="105"/>
      <c r="O289" s="88"/>
      <c r="P289" s="91"/>
      <c r="Q289" s="92"/>
      <c r="R289" s="92"/>
    </row>
    <row r="290" spans="1:18" ht="14.5" customHeight="1" x14ac:dyDescent="0.35">
      <c r="A290" s="94"/>
      <c r="B290" s="73"/>
      <c r="C290" s="75"/>
      <c r="D290" s="123"/>
      <c r="E290" s="125"/>
      <c r="F290" s="107"/>
      <c r="G290" s="47"/>
      <c r="H290" s="111"/>
      <c r="I290" s="89"/>
      <c r="J290" s="110"/>
      <c r="K290" s="103"/>
      <c r="L290" s="90"/>
      <c r="M290" s="7"/>
      <c r="N290" s="105"/>
      <c r="O290" s="88"/>
      <c r="P290" s="91"/>
      <c r="Q290" s="92"/>
      <c r="R290" s="92"/>
    </row>
    <row r="291" spans="1:18" ht="14.5" customHeight="1" x14ac:dyDescent="0.35">
      <c r="A291" s="94"/>
      <c r="B291" s="73"/>
      <c r="C291" s="75"/>
      <c r="D291" s="123"/>
      <c r="E291" s="125"/>
      <c r="F291" s="107"/>
      <c r="G291" s="47"/>
      <c r="H291" s="111"/>
      <c r="I291" s="89"/>
      <c r="J291" s="110"/>
      <c r="K291" s="103"/>
      <c r="L291" s="90"/>
      <c r="M291" s="7"/>
      <c r="N291" s="105"/>
      <c r="O291" s="88"/>
      <c r="P291" s="91"/>
      <c r="Q291" s="92"/>
      <c r="R291" s="92"/>
    </row>
    <row r="292" spans="1:18" ht="14.5" customHeight="1" x14ac:dyDescent="0.35">
      <c r="A292" s="94"/>
      <c r="B292" s="73"/>
      <c r="C292" s="75"/>
      <c r="D292" s="123"/>
      <c r="E292" s="125"/>
      <c r="F292" s="107"/>
      <c r="G292" s="47"/>
      <c r="H292" s="111"/>
      <c r="I292" s="89"/>
      <c r="J292" s="110"/>
      <c r="K292" s="103"/>
      <c r="L292" s="90"/>
      <c r="M292" s="7"/>
      <c r="N292" s="105"/>
      <c r="O292" s="88"/>
      <c r="P292" s="91"/>
      <c r="Q292" s="92"/>
      <c r="R292" s="92"/>
    </row>
    <row r="293" spans="1:18" ht="14.5" customHeight="1" x14ac:dyDescent="0.35">
      <c r="A293" s="94"/>
      <c r="B293" s="73"/>
      <c r="C293" s="75"/>
      <c r="D293" s="123"/>
      <c r="E293" s="125"/>
      <c r="F293" s="107"/>
      <c r="G293" s="47"/>
      <c r="H293" s="111"/>
      <c r="I293" s="89"/>
      <c r="J293" s="110"/>
      <c r="K293" s="103"/>
      <c r="L293" s="90"/>
      <c r="M293" s="7"/>
      <c r="N293" s="105"/>
      <c r="O293" s="88"/>
      <c r="P293" s="91"/>
      <c r="Q293" s="92"/>
      <c r="R293" s="92"/>
    </row>
    <row r="294" spans="1:18" ht="14.5" customHeight="1" x14ac:dyDescent="0.35">
      <c r="A294" s="94"/>
      <c r="B294" s="73"/>
      <c r="C294" s="75"/>
      <c r="D294" s="123"/>
      <c r="E294" s="125"/>
      <c r="F294" s="107"/>
      <c r="G294" s="47"/>
      <c r="H294" s="111"/>
      <c r="I294" s="89"/>
      <c r="J294" s="110"/>
      <c r="K294" s="103"/>
      <c r="L294" s="90"/>
      <c r="M294" s="7"/>
      <c r="N294" s="105"/>
      <c r="O294" s="88"/>
      <c r="P294" s="91"/>
      <c r="Q294" s="92"/>
      <c r="R294" s="92"/>
    </row>
    <row r="295" spans="1:18" ht="14.5" customHeight="1" x14ac:dyDescent="0.35">
      <c r="A295" s="94"/>
      <c r="B295" s="73"/>
      <c r="C295" s="75"/>
      <c r="D295" s="123"/>
      <c r="E295" s="125"/>
      <c r="F295" s="107"/>
      <c r="G295" s="47"/>
      <c r="H295" s="111"/>
      <c r="I295" s="89"/>
      <c r="J295" s="110"/>
      <c r="K295" s="103"/>
      <c r="L295" s="90"/>
      <c r="M295" s="7"/>
      <c r="N295" s="105"/>
      <c r="O295" s="88"/>
      <c r="P295" s="91"/>
      <c r="Q295" s="92"/>
      <c r="R295" s="92"/>
    </row>
    <row r="296" spans="1:18" ht="14.5" customHeight="1" x14ac:dyDescent="0.35">
      <c r="A296" s="94"/>
      <c r="B296" s="73"/>
      <c r="C296" s="75"/>
      <c r="D296" s="123"/>
      <c r="E296" s="125"/>
      <c r="F296" s="107"/>
      <c r="G296" s="47"/>
      <c r="H296" s="111"/>
      <c r="I296" s="89"/>
      <c r="J296" s="110"/>
      <c r="K296" s="103"/>
      <c r="L296" s="90"/>
      <c r="M296" s="7"/>
      <c r="N296" s="105"/>
      <c r="O296" s="88"/>
      <c r="P296" s="91"/>
      <c r="Q296" s="92"/>
      <c r="R296" s="92"/>
    </row>
    <row r="297" spans="1:18" x14ac:dyDescent="0.35">
      <c r="A297" s="94"/>
      <c r="B297" s="73"/>
      <c r="C297" s="75"/>
      <c r="D297" s="123"/>
      <c r="E297" s="125"/>
      <c r="F297" s="107"/>
      <c r="G297" s="47"/>
      <c r="H297" s="111"/>
      <c r="I297" s="89"/>
      <c r="J297" s="110"/>
      <c r="K297" s="103"/>
      <c r="L297" s="90"/>
      <c r="M297" s="7"/>
      <c r="N297" s="105"/>
      <c r="O297" s="88"/>
      <c r="P297" s="91"/>
      <c r="Q297" s="92"/>
      <c r="R297" s="92"/>
    </row>
    <row r="298" spans="1:18" x14ac:dyDescent="0.35">
      <c r="A298" s="89"/>
      <c r="B298" s="73"/>
      <c r="C298" s="98"/>
      <c r="D298" s="123"/>
      <c r="E298" s="116"/>
      <c r="F298" s="102"/>
      <c r="G298" s="60"/>
      <c r="H298" s="55"/>
      <c r="I298" s="17"/>
      <c r="J298" s="21"/>
      <c r="K298" s="130"/>
      <c r="L298" s="90"/>
      <c r="M298" s="7"/>
      <c r="N298" s="88"/>
      <c r="O298" s="88"/>
      <c r="P298" s="88"/>
      <c r="Q298" s="88"/>
      <c r="R298" s="88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393700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590550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438150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49</xdr:row>
                <xdr:rowOff>6350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292100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323850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368300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406400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355600</xdr:colOff>
                <xdr:row>94</xdr:row>
                <xdr:rowOff>57150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71</xdr:row>
                <xdr:rowOff>6350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368300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330200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323850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323850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279400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279400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304800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6">
          <objectPr defaultSize="0" autoPict="0" r:id="rId137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8">
          <objectPr defaultSize="0" autoPict="0" r:id="rId139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40">
          <objectPr defaultSize="0" autoPict="0" r:id="rId141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2">
          <objectPr defaultSize="0" autoPict="0" r:id="rId143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4">
          <objectPr defaultSize="0" autoPict="0" r:id="rId145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138</xdr:row>
                <xdr:rowOff>393700</xdr:rowOff>
              </to>
            </anchor>
          </objectPr>
        </oleObject>
      </mc:Choice>
      <mc:Fallback>
        <oleObject progId="Packager Shell Object" dvAspect="DVASPECT_ICON" shapeId="2124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6">
          <objectPr defaultSize="0" autoPict="0" r:id="rId147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8">
          <objectPr defaultSize="0" autoPict="0" r:id="rId149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50">
          <objectPr defaultSize="0" autoPict="0" r:id="rId151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184150</xdr:rowOff>
              </to>
            </anchor>
          </objectPr>
        </oleObject>
      </mc:Choice>
      <mc:Fallback>
        <oleObject progId="Packager Shell Object" dvAspect="DVASPECT_ICON" shapeId="2127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2">
          <objectPr defaultSize="0" autoPict="0" r:id="rId153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406400</xdr:rowOff>
              </to>
            </anchor>
          </objectPr>
        </oleObject>
      </mc:Choice>
      <mc:Fallback>
        <oleObject progId="Packager Shell Object" dvAspect="DVASPECT_ICON" shapeId="2128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4">
          <objectPr defaultSize="0" autoPict="0" r:id="rId155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292100</xdr:rowOff>
              </to>
            </anchor>
          </objectPr>
        </oleObject>
      </mc:Choice>
      <mc:Fallback>
        <oleObject progId="Packager Shell Object" dvAspect="DVASPECT_ICON" shapeId="2129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6">
          <objectPr defaultSize="0" autoPict="0" r:id="rId157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8">
          <objectPr defaultSize="0" autoPict="0" r:id="rId159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60">
          <objectPr defaultSize="0" autoPict="0" r:id="rId161">
            <anchor moveWithCells="1">
              <from>
                <xdr:col>19</xdr:col>
                <xdr:colOff>203200</xdr:colOff>
                <xdr:row>157</xdr:row>
                <xdr:rowOff>641350</xdr:rowOff>
              </from>
              <to>
                <xdr:col>19</xdr:col>
                <xdr:colOff>463550</xdr:colOff>
                <xdr:row>157</xdr:row>
                <xdr:rowOff>838200</xdr:rowOff>
              </to>
            </anchor>
          </objectPr>
        </oleObject>
      </mc:Choice>
      <mc:Fallback>
        <oleObject progId="Packager Shell Object" dvAspect="DVASPECT_ICON" shapeId="2132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2">
          <objectPr defaultSize="0" autoPict="0" r:id="rId163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4">
          <objectPr defaultSize="0" autoPict="0" r:id="rId165">
            <anchor moveWithCells="1">
              <from>
                <xdr:col>19</xdr:col>
                <xdr:colOff>177800</xdr:colOff>
                <xdr:row>159</xdr:row>
                <xdr:rowOff>88900</xdr:rowOff>
              </from>
              <to>
                <xdr:col>19</xdr:col>
                <xdr:colOff>457200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289"/>
  <sheetViews>
    <sheetView topLeftCell="A270" workbookViewId="0">
      <selection activeCell="G290" sqref="G290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291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294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2" t="s">
        <v>473</v>
      </c>
      <c r="B11" s="132"/>
      <c r="C11" s="132"/>
      <c r="D11" s="132"/>
      <c r="E11" s="133">
        <v>36</v>
      </c>
      <c r="F11" s="133">
        <v>2947.4</v>
      </c>
      <c r="G11" s="133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273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274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265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245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326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404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294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399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335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396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235</v>
      </c>
      <c r="D75" t="s">
        <v>236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400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2" t="s">
        <v>474</v>
      </c>
      <c r="B77" s="132"/>
      <c r="C77" s="132"/>
      <c r="D77" s="132"/>
      <c r="E77" s="133">
        <v>534</v>
      </c>
      <c r="F77" s="133">
        <v>31231.239999999998</v>
      </c>
      <c r="G77" s="133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276</v>
      </c>
      <c r="D79" t="s">
        <v>233</v>
      </c>
      <c r="E79" s="77">
        <v>1</v>
      </c>
      <c r="F79" s="77">
        <v>290</v>
      </c>
      <c r="G79" s="77">
        <v>290</v>
      </c>
    </row>
    <row r="80" spans="1:7" x14ac:dyDescent="0.35">
      <c r="D80" t="s">
        <v>234</v>
      </c>
      <c r="E80" s="77">
        <v>1</v>
      </c>
      <c r="F80" s="77">
        <v>290</v>
      </c>
      <c r="G80" s="77">
        <v>290</v>
      </c>
    </row>
    <row r="81" spans="3:7" x14ac:dyDescent="0.35">
      <c r="D81" t="s">
        <v>229</v>
      </c>
      <c r="E81" s="77">
        <v>1</v>
      </c>
      <c r="F81" s="77">
        <v>110</v>
      </c>
      <c r="G81" s="77">
        <v>110</v>
      </c>
    </row>
    <row r="82" spans="3:7" x14ac:dyDescent="0.35">
      <c r="D82" t="s">
        <v>231</v>
      </c>
      <c r="E82" s="77">
        <v>1</v>
      </c>
      <c r="F82" s="77">
        <v>150</v>
      </c>
      <c r="G82" s="77">
        <v>150</v>
      </c>
    </row>
    <row r="83" spans="3:7" x14ac:dyDescent="0.35">
      <c r="D83" t="s">
        <v>232</v>
      </c>
      <c r="E83" s="77">
        <v>3</v>
      </c>
      <c r="F83" s="77">
        <v>38</v>
      </c>
      <c r="G83" s="77">
        <v>114</v>
      </c>
    </row>
    <row r="84" spans="3:7" x14ac:dyDescent="0.35">
      <c r="D84" t="s">
        <v>214</v>
      </c>
      <c r="E84" s="77">
        <v>2</v>
      </c>
      <c r="F84" s="77">
        <v>2600</v>
      </c>
      <c r="G84" s="77">
        <v>5200</v>
      </c>
    </row>
    <row r="85" spans="3:7" x14ac:dyDescent="0.35">
      <c r="D85" t="s">
        <v>658</v>
      </c>
      <c r="E85" s="77">
        <v>1</v>
      </c>
      <c r="F85" s="77">
        <v>240</v>
      </c>
      <c r="G85" s="77">
        <v>240</v>
      </c>
    </row>
    <row r="86" spans="3:7" x14ac:dyDescent="0.35">
      <c r="C86" t="s">
        <v>275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277</v>
      </c>
      <c r="D87" t="s">
        <v>238</v>
      </c>
      <c r="E87" s="77">
        <v>1</v>
      </c>
      <c r="F87" s="77">
        <v>39</v>
      </c>
      <c r="G87" s="77">
        <v>39</v>
      </c>
    </row>
    <row r="88" spans="3:7" x14ac:dyDescent="0.35">
      <c r="D88" t="s">
        <v>239</v>
      </c>
      <c r="E88" s="77">
        <v>16</v>
      </c>
      <c r="F88" s="77">
        <v>120</v>
      </c>
      <c r="G88" s="77">
        <v>120</v>
      </c>
    </row>
    <row r="89" spans="3:7" x14ac:dyDescent="0.35">
      <c r="C89" t="s">
        <v>279</v>
      </c>
      <c r="D89" t="s">
        <v>245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280</v>
      </c>
      <c r="D91" t="s">
        <v>234</v>
      </c>
      <c r="E91" s="77">
        <v>1</v>
      </c>
      <c r="F91" s="77">
        <v>290</v>
      </c>
      <c r="G91" s="77">
        <v>290</v>
      </c>
    </row>
    <row r="92" spans="3:7" x14ac:dyDescent="0.35">
      <c r="C92" t="s">
        <v>288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405</v>
      </c>
      <c r="E96" s="77">
        <v>1</v>
      </c>
      <c r="F96" s="77">
        <v>55</v>
      </c>
      <c r="G96" s="77">
        <v>55</v>
      </c>
    </row>
    <row r="97" spans="3:7" x14ac:dyDescent="0.35">
      <c r="C97" t="s">
        <v>289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245</v>
      </c>
      <c r="E98" s="77">
        <v>12</v>
      </c>
      <c r="F98" s="77">
        <v>28</v>
      </c>
      <c r="G98" s="77">
        <v>336</v>
      </c>
    </row>
    <row r="99" spans="3:7" x14ac:dyDescent="0.35">
      <c r="D99" t="s">
        <v>254</v>
      </c>
      <c r="E99" s="77">
        <v>1</v>
      </c>
      <c r="F99" s="77">
        <v>90</v>
      </c>
      <c r="G99" s="77">
        <v>90</v>
      </c>
    </row>
    <row r="100" spans="3:7" x14ac:dyDescent="0.35">
      <c r="C100" t="s">
        <v>281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282</v>
      </c>
      <c r="D101" t="s">
        <v>658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335</v>
      </c>
      <c r="D102" t="s">
        <v>16</v>
      </c>
      <c r="E102" s="77">
        <v>5</v>
      </c>
      <c r="F102" s="77">
        <v>246</v>
      </c>
      <c r="G102" s="77">
        <v>1230</v>
      </c>
    </row>
    <row r="103" spans="3:7" x14ac:dyDescent="0.35">
      <c r="D103" t="s">
        <v>614</v>
      </c>
      <c r="E103" s="77">
        <v>20</v>
      </c>
      <c r="F103" s="77">
        <v>279</v>
      </c>
      <c r="G103" s="77">
        <v>5580</v>
      </c>
    </row>
    <row r="104" spans="3:7" x14ac:dyDescent="0.35">
      <c r="C104" t="s">
        <v>308</v>
      </c>
      <c r="D104" t="s">
        <v>16</v>
      </c>
      <c r="E104" s="77">
        <v>11</v>
      </c>
      <c r="F104" s="77">
        <v>198</v>
      </c>
      <c r="G104" s="77">
        <v>2178</v>
      </c>
    </row>
    <row r="105" spans="3:7" x14ac:dyDescent="0.35">
      <c r="D105" t="s">
        <v>29</v>
      </c>
      <c r="E105" s="77">
        <v>10</v>
      </c>
      <c r="F105" s="77">
        <v>1408</v>
      </c>
      <c r="G105" s="77">
        <v>14080</v>
      </c>
    </row>
    <row r="106" spans="3:7" x14ac:dyDescent="0.35">
      <c r="C106" t="s">
        <v>309</v>
      </c>
      <c r="D106" t="s">
        <v>29</v>
      </c>
      <c r="E106" s="77">
        <v>10</v>
      </c>
      <c r="F106" s="77">
        <v>1408</v>
      </c>
      <c r="G106" s="77">
        <v>14080</v>
      </c>
    </row>
    <row r="107" spans="3:7" x14ac:dyDescent="0.35">
      <c r="C107" t="s">
        <v>327</v>
      </c>
      <c r="D107" t="s">
        <v>229</v>
      </c>
      <c r="E107" s="77">
        <v>2</v>
      </c>
      <c r="F107" s="77">
        <v>110</v>
      </c>
      <c r="G107" s="77">
        <v>220</v>
      </c>
    </row>
    <row r="108" spans="3:7" x14ac:dyDescent="0.35">
      <c r="C108" t="s">
        <v>328</v>
      </c>
      <c r="D108" t="s">
        <v>19</v>
      </c>
      <c r="E108" s="77">
        <v>16</v>
      </c>
      <c r="F108" s="77">
        <v>80</v>
      </c>
      <c r="G108" s="77">
        <v>1280</v>
      </c>
    </row>
    <row r="109" spans="3:7" x14ac:dyDescent="0.35">
      <c r="D109" t="s">
        <v>405</v>
      </c>
      <c r="E109" s="77">
        <v>8</v>
      </c>
      <c r="F109" s="77">
        <v>60</v>
      </c>
      <c r="G109" s="77">
        <v>480</v>
      </c>
    </row>
    <row r="110" spans="3:7" x14ac:dyDescent="0.35">
      <c r="C110" t="s">
        <v>330</v>
      </c>
      <c r="D110" t="s">
        <v>180</v>
      </c>
      <c r="E110" s="77">
        <v>16</v>
      </c>
      <c r="F110" s="77">
        <v>394.2</v>
      </c>
      <c r="G110" s="77">
        <v>6307.2</v>
      </c>
    </row>
    <row r="111" spans="3:7" x14ac:dyDescent="0.35">
      <c r="C111" t="s">
        <v>329</v>
      </c>
      <c r="D111" t="s">
        <v>194</v>
      </c>
      <c r="E111" s="77">
        <v>5</v>
      </c>
      <c r="F111" s="77">
        <v>219</v>
      </c>
      <c r="G111" s="77">
        <v>1095</v>
      </c>
    </row>
    <row r="112" spans="3:7" x14ac:dyDescent="0.35">
      <c r="C112" t="s">
        <v>331</v>
      </c>
      <c r="D112" t="s">
        <v>334</v>
      </c>
      <c r="E112" s="77">
        <v>2</v>
      </c>
      <c r="F112" s="77">
        <v>1620</v>
      </c>
      <c r="G112" s="77">
        <v>3240</v>
      </c>
    </row>
    <row r="113" spans="3:7" x14ac:dyDescent="0.35">
      <c r="C113" t="s">
        <v>366</v>
      </c>
      <c r="D113" t="s">
        <v>29</v>
      </c>
      <c r="E113" s="77">
        <v>5</v>
      </c>
      <c r="F113" s="77">
        <v>1650</v>
      </c>
      <c r="G113" s="77">
        <v>8250</v>
      </c>
    </row>
    <row r="114" spans="3:7" x14ac:dyDescent="0.35">
      <c r="C114" t="s">
        <v>367</v>
      </c>
      <c r="D114" t="s">
        <v>17</v>
      </c>
      <c r="E114" s="77">
        <v>2</v>
      </c>
      <c r="F114" s="77">
        <v>230</v>
      </c>
      <c r="G114" s="77">
        <v>460</v>
      </c>
    </row>
    <row r="115" spans="3:7" x14ac:dyDescent="0.35">
      <c r="D115" t="s">
        <v>29</v>
      </c>
      <c r="E115" s="77">
        <v>10</v>
      </c>
      <c r="F115" s="77">
        <v>1650</v>
      </c>
      <c r="G115" s="77">
        <v>16500</v>
      </c>
    </row>
    <row r="116" spans="3:7" x14ac:dyDescent="0.35">
      <c r="C116" t="s">
        <v>368</v>
      </c>
      <c r="D116" t="s">
        <v>16</v>
      </c>
      <c r="E116" s="77">
        <v>5</v>
      </c>
      <c r="F116" s="77">
        <v>222</v>
      </c>
      <c r="G116" s="77">
        <v>1110</v>
      </c>
    </row>
    <row r="117" spans="3:7" x14ac:dyDescent="0.35">
      <c r="C117" t="s">
        <v>369</v>
      </c>
      <c r="D117" t="s">
        <v>233</v>
      </c>
      <c r="E117" s="77">
        <v>2</v>
      </c>
      <c r="F117" s="77">
        <v>290</v>
      </c>
      <c r="G117" s="77">
        <v>580</v>
      </c>
    </row>
    <row r="118" spans="3:7" x14ac:dyDescent="0.35">
      <c r="C118" t="s">
        <v>370</v>
      </c>
      <c r="D118" t="s">
        <v>29</v>
      </c>
      <c r="E118" s="77">
        <v>6</v>
      </c>
      <c r="F118" s="77">
        <v>1650</v>
      </c>
      <c r="G118" s="77">
        <v>9900</v>
      </c>
    </row>
    <row r="119" spans="3:7" x14ac:dyDescent="0.35">
      <c r="D119" t="s">
        <v>28</v>
      </c>
      <c r="E119" s="77">
        <v>80</v>
      </c>
      <c r="F119" s="77">
        <v>30</v>
      </c>
      <c r="G119" s="77">
        <v>2400</v>
      </c>
    </row>
    <row r="120" spans="3:7" x14ac:dyDescent="0.35">
      <c r="C120" t="s">
        <v>383</v>
      </c>
      <c r="D120" t="s">
        <v>233</v>
      </c>
      <c r="E120" s="77">
        <v>2</v>
      </c>
      <c r="F120" s="77">
        <v>290</v>
      </c>
      <c r="G120" s="77">
        <v>580</v>
      </c>
    </row>
    <row r="121" spans="3:7" x14ac:dyDescent="0.35">
      <c r="D121" t="s">
        <v>19</v>
      </c>
      <c r="E121" s="77">
        <v>12</v>
      </c>
      <c r="F121" s="77">
        <v>80</v>
      </c>
      <c r="G121" s="77">
        <v>960</v>
      </c>
    </row>
    <row r="122" spans="3:7" x14ac:dyDescent="0.35">
      <c r="D122" t="s">
        <v>29</v>
      </c>
      <c r="E122" s="77">
        <v>20</v>
      </c>
      <c r="F122" s="77">
        <v>1650</v>
      </c>
      <c r="G122" s="77">
        <v>33000</v>
      </c>
    </row>
    <row r="123" spans="3:7" x14ac:dyDescent="0.35">
      <c r="C123" t="s">
        <v>384</v>
      </c>
      <c r="D123" t="s">
        <v>375</v>
      </c>
      <c r="E123" s="77">
        <v>16</v>
      </c>
      <c r="F123" s="77">
        <v>284.89999999999998</v>
      </c>
      <c r="G123" s="77">
        <v>4558.3999999999996</v>
      </c>
    </row>
    <row r="124" spans="3:7" x14ac:dyDescent="0.35">
      <c r="D124" t="s">
        <v>378</v>
      </c>
      <c r="E124" s="77">
        <v>16</v>
      </c>
      <c r="F124" s="77">
        <v>462</v>
      </c>
      <c r="G124" s="77">
        <v>7392</v>
      </c>
    </row>
    <row r="125" spans="3:7" x14ac:dyDescent="0.35">
      <c r="C125" t="s">
        <v>385</v>
      </c>
      <c r="D125" t="s">
        <v>31</v>
      </c>
      <c r="E125" s="77">
        <v>4</v>
      </c>
      <c r="F125" s="77">
        <v>1650</v>
      </c>
      <c r="G125" s="77">
        <v>6600</v>
      </c>
    </row>
    <row r="126" spans="3:7" x14ac:dyDescent="0.35">
      <c r="D126" t="s">
        <v>64</v>
      </c>
      <c r="E126" s="77">
        <v>10</v>
      </c>
      <c r="F126" s="77">
        <v>1727</v>
      </c>
      <c r="G126" s="77">
        <v>17270</v>
      </c>
    </row>
    <row r="127" spans="3:7" x14ac:dyDescent="0.35">
      <c r="C127" t="s">
        <v>433</v>
      </c>
      <c r="D127" t="s">
        <v>375</v>
      </c>
      <c r="E127" s="77">
        <v>25</v>
      </c>
      <c r="F127" s="77">
        <v>281.2</v>
      </c>
      <c r="G127" s="77">
        <v>7030</v>
      </c>
    </row>
    <row r="128" spans="3:7" x14ac:dyDescent="0.35">
      <c r="C128" t="s">
        <v>434</v>
      </c>
      <c r="D128" t="s">
        <v>28</v>
      </c>
      <c r="E128" s="77">
        <v>2</v>
      </c>
      <c r="F128" s="77">
        <v>30</v>
      </c>
      <c r="G128" s="77">
        <v>60</v>
      </c>
    </row>
    <row r="129" spans="3:7" x14ac:dyDescent="0.35">
      <c r="D129" t="s">
        <v>375</v>
      </c>
      <c r="E129" s="77">
        <v>10</v>
      </c>
      <c r="F129" s="77">
        <v>307.10000000000002</v>
      </c>
      <c r="G129" s="77">
        <v>3071</v>
      </c>
    </row>
    <row r="130" spans="3:7" x14ac:dyDescent="0.35">
      <c r="D130" t="s">
        <v>405</v>
      </c>
      <c r="E130" s="77">
        <v>4</v>
      </c>
      <c r="F130" s="77">
        <v>60</v>
      </c>
      <c r="G130" s="77">
        <v>240</v>
      </c>
    </row>
    <row r="131" spans="3:7" x14ac:dyDescent="0.35">
      <c r="D131" t="s">
        <v>436</v>
      </c>
      <c r="E131" s="77">
        <v>4</v>
      </c>
      <c r="F131" s="77">
        <v>1676.25</v>
      </c>
      <c r="G131" s="77">
        <v>6705</v>
      </c>
    </row>
    <row r="132" spans="3:7" x14ac:dyDescent="0.35">
      <c r="D132" t="s">
        <v>435</v>
      </c>
      <c r="E132" s="77">
        <v>4</v>
      </c>
      <c r="F132" s="77">
        <v>288</v>
      </c>
      <c r="G132" s="77">
        <v>1152</v>
      </c>
    </row>
    <row r="133" spans="3:7" x14ac:dyDescent="0.35">
      <c r="C133" t="s">
        <v>445</v>
      </c>
      <c r="D133" t="s">
        <v>447</v>
      </c>
      <c r="E133" s="77">
        <v>3</v>
      </c>
      <c r="F133" s="77">
        <v>500</v>
      </c>
      <c r="G133" s="77">
        <v>1500</v>
      </c>
    </row>
    <row r="134" spans="3:7" x14ac:dyDescent="0.35">
      <c r="C134" t="s">
        <v>446</v>
      </c>
      <c r="D134" t="s">
        <v>375</v>
      </c>
      <c r="E134" s="77">
        <v>2</v>
      </c>
      <c r="F134" s="77">
        <v>307.10000000000002</v>
      </c>
      <c r="G134" s="77">
        <v>614.20000000000005</v>
      </c>
    </row>
    <row r="135" spans="3:7" x14ac:dyDescent="0.35">
      <c r="D135" t="s">
        <v>435</v>
      </c>
      <c r="E135" s="77">
        <v>2</v>
      </c>
      <c r="F135" s="77">
        <v>288</v>
      </c>
      <c r="G135" s="77">
        <v>576</v>
      </c>
    </row>
    <row r="136" spans="3:7" x14ac:dyDescent="0.35">
      <c r="C136" t="s">
        <v>526</v>
      </c>
      <c r="D136" t="s">
        <v>29</v>
      </c>
      <c r="E136" s="77">
        <v>12</v>
      </c>
      <c r="F136" s="77">
        <v>1617</v>
      </c>
      <c r="G136" s="77">
        <v>19404</v>
      </c>
    </row>
    <row r="137" spans="3:7" x14ac:dyDescent="0.35">
      <c r="C137" t="s">
        <v>527</v>
      </c>
      <c r="D137" t="s">
        <v>233</v>
      </c>
      <c r="E137" s="77">
        <v>2</v>
      </c>
      <c r="F137" s="77">
        <v>290</v>
      </c>
      <c r="G137" s="77">
        <v>580</v>
      </c>
    </row>
    <row r="138" spans="3:7" x14ac:dyDescent="0.35">
      <c r="D138" t="s">
        <v>64</v>
      </c>
      <c r="E138" s="77">
        <v>10</v>
      </c>
      <c r="F138" s="77">
        <v>1650</v>
      </c>
      <c r="G138" s="77">
        <v>16500</v>
      </c>
    </row>
    <row r="139" spans="3:7" x14ac:dyDescent="0.35">
      <c r="D139" t="s">
        <v>375</v>
      </c>
      <c r="E139" s="77">
        <v>32</v>
      </c>
      <c r="F139" s="77">
        <v>281.2</v>
      </c>
      <c r="G139" s="77">
        <v>8998.4</v>
      </c>
    </row>
    <row r="140" spans="3:7" x14ac:dyDescent="0.35">
      <c r="D140" t="s">
        <v>405</v>
      </c>
      <c r="E140" s="77">
        <v>12</v>
      </c>
      <c r="F140" s="77">
        <v>60</v>
      </c>
      <c r="G140" s="77">
        <v>720</v>
      </c>
    </row>
    <row r="141" spans="3:7" x14ac:dyDescent="0.35">
      <c r="C141" t="s">
        <v>533</v>
      </c>
      <c r="D141" t="s">
        <v>405</v>
      </c>
      <c r="E141" s="77">
        <v>16</v>
      </c>
      <c r="F141" s="77">
        <v>65</v>
      </c>
      <c r="G141" s="77">
        <v>1040</v>
      </c>
    </row>
    <row r="142" spans="3:7" x14ac:dyDescent="0.35">
      <c r="C142" t="s">
        <v>534</v>
      </c>
      <c r="D142" t="s">
        <v>19</v>
      </c>
      <c r="E142" s="77">
        <v>12</v>
      </c>
      <c r="F142" s="77">
        <v>82.5</v>
      </c>
      <c r="G142" s="77">
        <v>990</v>
      </c>
    </row>
    <row r="143" spans="3:7" x14ac:dyDescent="0.35">
      <c r="D143" t="s">
        <v>435</v>
      </c>
      <c r="E143" s="77">
        <v>20</v>
      </c>
      <c r="F143" s="77">
        <v>288</v>
      </c>
      <c r="G143" s="77">
        <v>5760</v>
      </c>
    </row>
    <row r="144" spans="3:7" x14ac:dyDescent="0.35">
      <c r="C144" t="s">
        <v>535</v>
      </c>
      <c r="D144" t="s">
        <v>29</v>
      </c>
      <c r="E144" s="77">
        <v>10</v>
      </c>
      <c r="F144" s="77">
        <v>1815</v>
      </c>
      <c r="G144" s="77">
        <v>18150</v>
      </c>
    </row>
    <row r="145" spans="3:7" x14ac:dyDescent="0.35">
      <c r="C145" t="s">
        <v>536</v>
      </c>
      <c r="D145" t="s">
        <v>375</v>
      </c>
      <c r="E145" s="77">
        <v>1</v>
      </c>
      <c r="F145" s="77">
        <v>321.89999999999998</v>
      </c>
      <c r="G145" s="77">
        <v>321.89999999999998</v>
      </c>
    </row>
    <row r="146" spans="3:7" x14ac:dyDescent="0.35">
      <c r="D146" t="s">
        <v>501</v>
      </c>
      <c r="E146" s="77">
        <v>1</v>
      </c>
      <c r="F146" s="77">
        <v>105</v>
      </c>
      <c r="G146" s="77">
        <v>105</v>
      </c>
    </row>
    <row r="147" spans="3:7" x14ac:dyDescent="0.35">
      <c r="C147" t="s">
        <v>537</v>
      </c>
      <c r="D147" t="s">
        <v>375</v>
      </c>
      <c r="E147" s="77">
        <v>32</v>
      </c>
      <c r="F147" s="77">
        <v>321.89999999999998</v>
      </c>
      <c r="G147" s="77">
        <v>10300.799999999999</v>
      </c>
    </row>
    <row r="148" spans="3:7" x14ac:dyDescent="0.35">
      <c r="C148" t="s">
        <v>538</v>
      </c>
      <c r="D148" t="s">
        <v>435</v>
      </c>
      <c r="E148" s="77">
        <v>10</v>
      </c>
      <c r="F148" s="77">
        <v>288</v>
      </c>
      <c r="G148" s="77">
        <v>2880</v>
      </c>
    </row>
    <row r="149" spans="3:7" x14ac:dyDescent="0.35">
      <c r="C149" t="s">
        <v>539</v>
      </c>
      <c r="D149" t="s">
        <v>233</v>
      </c>
      <c r="E149" s="77">
        <v>5</v>
      </c>
      <c r="F149" s="77">
        <v>390</v>
      </c>
      <c r="G149" s="77">
        <v>1950</v>
      </c>
    </row>
    <row r="150" spans="3:7" x14ac:dyDescent="0.35">
      <c r="C150" t="s">
        <v>540</v>
      </c>
      <c r="D150" t="s">
        <v>19</v>
      </c>
      <c r="E150" s="77">
        <v>4</v>
      </c>
      <c r="F150" s="77">
        <v>90</v>
      </c>
      <c r="G150" s="77">
        <v>360</v>
      </c>
    </row>
    <row r="151" spans="3:7" x14ac:dyDescent="0.35">
      <c r="D151" t="s">
        <v>405</v>
      </c>
      <c r="E151" s="77">
        <v>8</v>
      </c>
      <c r="F151" s="77">
        <v>65</v>
      </c>
      <c r="G151" s="77">
        <v>520</v>
      </c>
    </row>
    <row r="152" spans="3:7" x14ac:dyDescent="0.35">
      <c r="C152" t="s">
        <v>541</v>
      </c>
      <c r="D152" t="s">
        <v>435</v>
      </c>
      <c r="E152" s="77">
        <v>10</v>
      </c>
      <c r="F152" s="77">
        <v>288</v>
      </c>
      <c r="G152" s="77">
        <v>2880</v>
      </c>
    </row>
    <row r="153" spans="3:7" x14ac:dyDescent="0.35">
      <c r="C153" t="s">
        <v>542</v>
      </c>
      <c r="D153" t="s">
        <v>28</v>
      </c>
      <c r="E153" s="77">
        <v>5</v>
      </c>
      <c r="F153" s="77">
        <v>32.5</v>
      </c>
      <c r="G153" s="77">
        <v>162.5</v>
      </c>
    </row>
    <row r="154" spans="3:7" x14ac:dyDescent="0.35">
      <c r="C154" t="s">
        <v>543</v>
      </c>
      <c r="D154" t="s">
        <v>28</v>
      </c>
      <c r="E154" s="77">
        <v>80</v>
      </c>
      <c r="F154" s="77">
        <v>32.5</v>
      </c>
      <c r="G154" s="77">
        <v>2600</v>
      </c>
    </row>
    <row r="155" spans="3:7" x14ac:dyDescent="0.35">
      <c r="C155" t="s">
        <v>572</v>
      </c>
      <c r="D155" t="s">
        <v>19</v>
      </c>
      <c r="E155" s="77">
        <v>12</v>
      </c>
      <c r="F155" s="77">
        <v>90</v>
      </c>
      <c r="G155" s="77">
        <v>1080</v>
      </c>
    </row>
    <row r="156" spans="3:7" x14ac:dyDescent="0.35">
      <c r="D156" t="s">
        <v>405</v>
      </c>
      <c r="E156" s="77">
        <v>20</v>
      </c>
      <c r="F156" s="77">
        <v>65</v>
      </c>
      <c r="G156" s="77">
        <v>1300</v>
      </c>
    </row>
    <row r="157" spans="3:7" x14ac:dyDescent="0.35">
      <c r="C157" t="s">
        <v>574</v>
      </c>
      <c r="D157" t="s">
        <v>233</v>
      </c>
      <c r="E157" s="77">
        <v>3</v>
      </c>
      <c r="F157" s="77">
        <v>390</v>
      </c>
      <c r="G157" s="77">
        <v>1170</v>
      </c>
    </row>
    <row r="158" spans="3:7" x14ac:dyDescent="0.35">
      <c r="D158" t="s">
        <v>575</v>
      </c>
      <c r="E158" s="77">
        <v>5</v>
      </c>
      <c r="F158" s="77">
        <v>1957.5</v>
      </c>
      <c r="G158" s="77">
        <v>9787.5</v>
      </c>
    </row>
    <row r="159" spans="3:7" x14ac:dyDescent="0.35">
      <c r="C159" t="s">
        <v>571</v>
      </c>
      <c r="D159" t="s">
        <v>435</v>
      </c>
      <c r="E159" s="77">
        <v>1</v>
      </c>
      <c r="F159" s="77">
        <v>288</v>
      </c>
      <c r="G159" s="77">
        <v>288</v>
      </c>
    </row>
    <row r="160" spans="3:7" x14ac:dyDescent="0.35">
      <c r="D160" t="s">
        <v>573</v>
      </c>
      <c r="E160" s="77">
        <v>2</v>
      </c>
      <c r="F160" s="77">
        <v>288</v>
      </c>
      <c r="G160" s="77">
        <v>576</v>
      </c>
    </row>
    <row r="161" spans="2:7" x14ac:dyDescent="0.35">
      <c r="C161" t="s">
        <v>567</v>
      </c>
      <c r="D161" t="s">
        <v>229</v>
      </c>
      <c r="E161" s="77">
        <v>2</v>
      </c>
      <c r="F161" s="77">
        <v>120</v>
      </c>
      <c r="G161" s="77">
        <v>240</v>
      </c>
    </row>
    <row r="162" spans="2:7" x14ac:dyDescent="0.35">
      <c r="D162" t="s">
        <v>568</v>
      </c>
      <c r="E162" s="77">
        <v>1</v>
      </c>
      <c r="F162" s="77">
        <v>420</v>
      </c>
      <c r="G162" s="77">
        <v>420</v>
      </c>
    </row>
    <row r="163" spans="2:7" x14ac:dyDescent="0.35">
      <c r="C163" t="s">
        <v>589</v>
      </c>
      <c r="D163" t="s">
        <v>265</v>
      </c>
      <c r="E163" s="77">
        <v>1</v>
      </c>
      <c r="F163" s="77">
        <v>345</v>
      </c>
      <c r="G163" s="77">
        <v>345</v>
      </c>
    </row>
    <row r="164" spans="2:7" x14ac:dyDescent="0.35">
      <c r="C164" t="s">
        <v>649</v>
      </c>
      <c r="D164" t="s">
        <v>614</v>
      </c>
      <c r="E164" s="77">
        <v>20</v>
      </c>
      <c r="F164" s="77">
        <v>264</v>
      </c>
      <c r="G164" s="77">
        <v>5280</v>
      </c>
    </row>
    <row r="165" spans="2:7" x14ac:dyDescent="0.35">
      <c r="D165" t="s">
        <v>613</v>
      </c>
      <c r="E165" s="77">
        <v>20</v>
      </c>
      <c r="F165" s="77">
        <v>528</v>
      </c>
      <c r="G165" s="77">
        <v>10560</v>
      </c>
    </row>
    <row r="166" spans="2:7" x14ac:dyDescent="0.35">
      <c r="B166" s="79" t="s">
        <v>294</v>
      </c>
      <c r="C166" s="79"/>
      <c r="D166" s="79"/>
      <c r="E166" s="80">
        <v>901</v>
      </c>
      <c r="F166" s="80">
        <v>43190.75</v>
      </c>
      <c r="G166" s="80">
        <v>341527.9</v>
      </c>
    </row>
    <row r="167" spans="2:7" x14ac:dyDescent="0.35">
      <c r="B167" t="s">
        <v>158</v>
      </c>
      <c r="C167" t="s">
        <v>335</v>
      </c>
      <c r="D167" t="s">
        <v>270</v>
      </c>
      <c r="E167" s="77">
        <v>3</v>
      </c>
      <c r="F167" s="77">
        <v>54</v>
      </c>
      <c r="G167" s="77">
        <v>162</v>
      </c>
    </row>
    <row r="168" spans="2:7" x14ac:dyDescent="0.35">
      <c r="D168" t="s">
        <v>365</v>
      </c>
      <c r="E168" s="77">
        <v>2</v>
      </c>
      <c r="F168" s="77">
        <v>60.8</v>
      </c>
      <c r="G168" s="77">
        <v>60.8</v>
      </c>
    </row>
    <row r="169" spans="2:7" x14ac:dyDescent="0.35">
      <c r="D169" t="s">
        <v>373</v>
      </c>
      <c r="E169" s="77">
        <v>1</v>
      </c>
      <c r="F169" s="77">
        <v>38</v>
      </c>
      <c r="G169" s="77">
        <v>38</v>
      </c>
    </row>
    <row r="170" spans="2:7" x14ac:dyDescent="0.35">
      <c r="B170" s="79" t="s">
        <v>396</v>
      </c>
      <c r="C170" s="79"/>
      <c r="D170" s="79"/>
      <c r="E170" s="80">
        <v>6</v>
      </c>
      <c r="F170" s="80">
        <v>152.80000000000001</v>
      </c>
      <c r="G170" s="80">
        <v>260.8</v>
      </c>
    </row>
    <row r="171" spans="2:7" x14ac:dyDescent="0.35">
      <c r="B171" t="s">
        <v>310</v>
      </c>
      <c r="C171">
        <v>18634</v>
      </c>
      <c r="D171" t="s">
        <v>318</v>
      </c>
      <c r="E171" s="77">
        <v>20</v>
      </c>
      <c r="F171" s="77">
        <v>42</v>
      </c>
      <c r="G171" s="77">
        <v>840</v>
      </c>
    </row>
    <row r="172" spans="2:7" x14ac:dyDescent="0.35">
      <c r="C172">
        <v>18674</v>
      </c>
      <c r="D172" t="s">
        <v>313</v>
      </c>
      <c r="E172" s="77">
        <v>2</v>
      </c>
      <c r="F172" s="77">
        <v>50</v>
      </c>
      <c r="G172" s="77">
        <v>100</v>
      </c>
    </row>
    <row r="173" spans="2:7" x14ac:dyDescent="0.35">
      <c r="D173" t="s">
        <v>314</v>
      </c>
      <c r="E173" s="77">
        <v>2</v>
      </c>
      <c r="F173" s="77">
        <v>50</v>
      </c>
      <c r="G173" s="77">
        <v>100</v>
      </c>
    </row>
    <row r="174" spans="2:7" x14ac:dyDescent="0.35">
      <c r="B174" s="79" t="s">
        <v>397</v>
      </c>
      <c r="C174" s="79"/>
      <c r="D174" s="79"/>
      <c r="E174" s="80">
        <v>24</v>
      </c>
      <c r="F174" s="80">
        <v>142</v>
      </c>
      <c r="G174" s="80">
        <v>1040</v>
      </c>
    </row>
    <row r="175" spans="2:7" x14ac:dyDescent="0.35">
      <c r="B175" t="s">
        <v>335</v>
      </c>
      <c r="C175" t="s">
        <v>311</v>
      </c>
      <c r="D175" t="s">
        <v>16</v>
      </c>
      <c r="E175" s="77">
        <v>5</v>
      </c>
      <c r="F175" s="77">
        <v>210</v>
      </c>
      <c r="G175" s="77">
        <v>1050</v>
      </c>
    </row>
    <row r="176" spans="2:7" x14ac:dyDescent="0.35">
      <c r="B176" s="79" t="s">
        <v>336</v>
      </c>
      <c r="C176" s="79"/>
      <c r="D176" s="79"/>
      <c r="E176" s="80">
        <v>5</v>
      </c>
      <c r="F176" s="80">
        <v>210</v>
      </c>
      <c r="G176" s="80">
        <v>1050</v>
      </c>
    </row>
    <row r="177" spans="2:7" x14ac:dyDescent="0.35">
      <c r="B177" t="s">
        <v>307</v>
      </c>
      <c r="C177" t="s">
        <v>312</v>
      </c>
      <c r="D177" t="s">
        <v>645</v>
      </c>
      <c r="E177" s="77">
        <v>4</v>
      </c>
      <c r="F177" s="77">
        <v>305</v>
      </c>
      <c r="G177" s="77">
        <v>1220</v>
      </c>
    </row>
    <row r="178" spans="2:7" x14ac:dyDescent="0.35">
      <c r="C178" t="s">
        <v>494</v>
      </c>
      <c r="D178" t="s">
        <v>645</v>
      </c>
      <c r="E178" s="77">
        <v>4</v>
      </c>
      <c r="F178" s="77">
        <v>305</v>
      </c>
      <c r="G178" s="77">
        <v>1220</v>
      </c>
    </row>
    <row r="179" spans="2:7" x14ac:dyDescent="0.35">
      <c r="B179" s="79" t="s">
        <v>398</v>
      </c>
      <c r="C179" s="79"/>
      <c r="D179" s="79"/>
      <c r="E179" s="80">
        <v>8</v>
      </c>
      <c r="F179" s="80">
        <v>610</v>
      </c>
      <c r="G179" s="80">
        <v>2440</v>
      </c>
    </row>
    <row r="180" spans="2:7" x14ac:dyDescent="0.35">
      <c r="B180" t="s">
        <v>339</v>
      </c>
      <c r="C180" t="s">
        <v>351</v>
      </c>
      <c r="D180" t="s">
        <v>356</v>
      </c>
      <c r="E180" s="77">
        <v>6</v>
      </c>
      <c r="F180" s="77">
        <v>1672</v>
      </c>
      <c r="G180" s="77">
        <v>10032</v>
      </c>
    </row>
    <row r="181" spans="2:7" x14ac:dyDescent="0.35">
      <c r="D181" t="s">
        <v>357</v>
      </c>
      <c r="E181" s="77">
        <v>2</v>
      </c>
      <c r="F181" s="77">
        <v>1672</v>
      </c>
      <c r="G181" s="77">
        <v>3344</v>
      </c>
    </row>
    <row r="182" spans="2:7" x14ac:dyDescent="0.35">
      <c r="C182" t="s">
        <v>352</v>
      </c>
      <c r="D182" t="s">
        <v>358</v>
      </c>
      <c r="E182" s="77">
        <v>2</v>
      </c>
      <c r="F182" s="77">
        <v>1628</v>
      </c>
      <c r="G182" s="77">
        <v>3256</v>
      </c>
    </row>
    <row r="183" spans="2:7" x14ac:dyDescent="0.35">
      <c r="C183" t="s">
        <v>386</v>
      </c>
      <c r="D183" t="s">
        <v>356</v>
      </c>
      <c r="E183" s="77">
        <v>3</v>
      </c>
      <c r="F183" s="77">
        <v>1683</v>
      </c>
      <c r="G183" s="77">
        <v>5049</v>
      </c>
    </row>
    <row r="184" spans="2:7" x14ac:dyDescent="0.35">
      <c r="C184" t="s">
        <v>577</v>
      </c>
      <c r="D184" t="s">
        <v>356</v>
      </c>
      <c r="E184" s="77">
        <v>5</v>
      </c>
      <c r="F184" s="77">
        <v>1980</v>
      </c>
      <c r="G184" s="77">
        <v>9900</v>
      </c>
    </row>
    <row r="185" spans="2:7" x14ac:dyDescent="0.35">
      <c r="D185" t="s">
        <v>357</v>
      </c>
      <c r="E185" s="77">
        <v>1</v>
      </c>
      <c r="F185" s="77">
        <v>1980</v>
      </c>
      <c r="G185" s="77">
        <v>1980</v>
      </c>
    </row>
    <row r="186" spans="2:7" x14ac:dyDescent="0.35">
      <c r="D186" t="s">
        <v>358</v>
      </c>
      <c r="E186" s="77">
        <v>4</v>
      </c>
      <c r="F186" s="77">
        <v>1980</v>
      </c>
      <c r="G186" s="77">
        <v>7920</v>
      </c>
    </row>
    <row r="187" spans="2:7" x14ac:dyDescent="0.35">
      <c r="C187" t="s">
        <v>648</v>
      </c>
      <c r="D187" t="s">
        <v>579</v>
      </c>
      <c r="E187" s="77">
        <v>20</v>
      </c>
      <c r="F187" s="77">
        <v>306</v>
      </c>
      <c r="G187" s="77">
        <v>6120</v>
      </c>
    </row>
    <row r="188" spans="2:7" x14ac:dyDescent="0.35">
      <c r="B188" s="79" t="s">
        <v>401</v>
      </c>
      <c r="C188" s="79"/>
      <c r="D188" s="79"/>
      <c r="E188" s="80">
        <v>43</v>
      </c>
      <c r="F188" s="80">
        <v>12901</v>
      </c>
      <c r="G188" s="80">
        <v>47601</v>
      </c>
    </row>
    <row r="189" spans="2:7" x14ac:dyDescent="0.35">
      <c r="B189" t="s">
        <v>347</v>
      </c>
      <c r="C189" t="s">
        <v>348</v>
      </c>
      <c r="D189" t="s">
        <v>359</v>
      </c>
      <c r="E189" s="77">
        <v>10</v>
      </c>
      <c r="F189" s="77">
        <v>405</v>
      </c>
      <c r="G189" s="77">
        <v>4050</v>
      </c>
    </row>
    <row r="190" spans="2:7" x14ac:dyDescent="0.35">
      <c r="C190" t="s">
        <v>437</v>
      </c>
      <c r="D190" t="s">
        <v>359</v>
      </c>
      <c r="E190" s="77">
        <v>10</v>
      </c>
      <c r="F190" s="77">
        <v>432</v>
      </c>
      <c r="G190" s="77">
        <v>4320</v>
      </c>
    </row>
    <row r="191" spans="2:7" x14ac:dyDescent="0.35">
      <c r="C191" t="s">
        <v>530</v>
      </c>
      <c r="D191" t="s">
        <v>489</v>
      </c>
      <c r="E191" s="77">
        <v>5</v>
      </c>
      <c r="F191" s="77">
        <v>1749</v>
      </c>
      <c r="G191" s="77">
        <v>8745</v>
      </c>
    </row>
    <row r="192" spans="2:7" x14ac:dyDescent="0.35">
      <c r="C192" t="s">
        <v>531</v>
      </c>
      <c r="D192" t="s">
        <v>489</v>
      </c>
      <c r="E192" s="77">
        <v>10</v>
      </c>
      <c r="F192" s="77">
        <v>1914</v>
      </c>
      <c r="G192" s="77">
        <v>19140</v>
      </c>
    </row>
    <row r="193" spans="2:7" x14ac:dyDescent="0.35">
      <c r="C193" t="s">
        <v>582</v>
      </c>
      <c r="D193" t="s">
        <v>489</v>
      </c>
      <c r="E193" s="77">
        <v>10</v>
      </c>
      <c r="F193" s="77">
        <v>1914</v>
      </c>
      <c r="G193" s="77">
        <v>19140</v>
      </c>
    </row>
    <row r="194" spans="2:7" x14ac:dyDescent="0.35">
      <c r="C194" t="s">
        <v>578</v>
      </c>
      <c r="D194" t="s">
        <v>583</v>
      </c>
      <c r="E194" s="77">
        <v>10</v>
      </c>
      <c r="F194" s="77">
        <v>1936</v>
      </c>
      <c r="G194" s="77">
        <v>19360</v>
      </c>
    </row>
    <row r="195" spans="2:7" x14ac:dyDescent="0.35">
      <c r="B195" s="79" t="s">
        <v>402</v>
      </c>
      <c r="C195" s="79"/>
      <c r="D195" s="79"/>
      <c r="E195" s="80">
        <v>55</v>
      </c>
      <c r="F195" s="80">
        <v>8350</v>
      </c>
      <c r="G195" s="80">
        <v>74755</v>
      </c>
    </row>
    <row r="196" spans="2:7" x14ac:dyDescent="0.35">
      <c r="B196" t="s">
        <v>362</v>
      </c>
      <c r="C196">
        <v>13101</v>
      </c>
      <c r="D196" t="s">
        <v>677</v>
      </c>
      <c r="E196" s="77">
        <v>2</v>
      </c>
      <c r="F196" s="77">
        <v>320</v>
      </c>
      <c r="G196" s="77">
        <v>640</v>
      </c>
    </row>
    <row r="197" spans="2:7" x14ac:dyDescent="0.35">
      <c r="B197" s="79" t="s">
        <v>403</v>
      </c>
      <c r="C197" s="79"/>
      <c r="D197" s="79"/>
      <c r="E197" s="80">
        <v>2</v>
      </c>
      <c r="F197" s="80">
        <v>320</v>
      </c>
      <c r="G197" s="80">
        <v>640</v>
      </c>
    </row>
    <row r="198" spans="2:7" x14ac:dyDescent="0.35">
      <c r="B198" t="s">
        <v>424</v>
      </c>
      <c r="C198" t="s">
        <v>762</v>
      </c>
      <c r="D198" t="s">
        <v>426</v>
      </c>
      <c r="E198" s="77">
        <v>1</v>
      </c>
      <c r="F198" s="77">
        <v>800</v>
      </c>
      <c r="G198" s="77">
        <v>800</v>
      </c>
    </row>
    <row r="199" spans="2:7" x14ac:dyDescent="0.35">
      <c r="B199" s="79" t="s">
        <v>451</v>
      </c>
      <c r="C199" s="79"/>
      <c r="D199" s="79"/>
      <c r="E199" s="80">
        <v>1</v>
      </c>
      <c r="F199" s="80">
        <v>800</v>
      </c>
      <c r="G199" s="80">
        <v>800</v>
      </c>
    </row>
    <row r="200" spans="2:7" x14ac:dyDescent="0.35">
      <c r="B200" t="s">
        <v>429</v>
      </c>
      <c r="C200" t="s">
        <v>490</v>
      </c>
      <c r="D200" t="s">
        <v>431</v>
      </c>
      <c r="E200" s="77">
        <v>5</v>
      </c>
      <c r="F200" s="77">
        <v>1760</v>
      </c>
      <c r="G200" s="77">
        <v>8800</v>
      </c>
    </row>
    <row r="201" spans="2:7" x14ac:dyDescent="0.35">
      <c r="D201" t="s">
        <v>458</v>
      </c>
      <c r="E201" s="77">
        <v>9</v>
      </c>
      <c r="F201" s="77">
        <v>270</v>
      </c>
      <c r="G201" s="77">
        <v>2430</v>
      </c>
    </row>
    <row r="202" spans="2:7" x14ac:dyDescent="0.35">
      <c r="D202" t="s">
        <v>491</v>
      </c>
      <c r="E202" s="77">
        <v>10</v>
      </c>
      <c r="F202" s="77">
        <v>1760</v>
      </c>
      <c r="G202" s="77">
        <v>17600</v>
      </c>
    </row>
    <row r="203" spans="2:7" x14ac:dyDescent="0.35">
      <c r="C203" t="s">
        <v>528</v>
      </c>
      <c r="D203" t="s">
        <v>431</v>
      </c>
      <c r="E203" s="77">
        <v>4</v>
      </c>
      <c r="F203" s="77">
        <v>1760</v>
      </c>
      <c r="G203" s="77">
        <v>7040</v>
      </c>
    </row>
    <row r="204" spans="2:7" x14ac:dyDescent="0.35">
      <c r="D204" t="s">
        <v>430</v>
      </c>
      <c r="E204" s="77">
        <v>10</v>
      </c>
      <c r="F204" s="77">
        <v>468</v>
      </c>
      <c r="G204" s="77">
        <v>4680</v>
      </c>
    </row>
    <row r="205" spans="2:7" x14ac:dyDescent="0.35">
      <c r="C205" t="s">
        <v>529</v>
      </c>
      <c r="D205" t="s">
        <v>432</v>
      </c>
      <c r="E205" s="77">
        <v>12</v>
      </c>
      <c r="F205" s="77">
        <v>40</v>
      </c>
      <c r="G205" s="77">
        <v>480</v>
      </c>
    </row>
    <row r="206" spans="2:7" x14ac:dyDescent="0.35">
      <c r="C206" t="s">
        <v>552</v>
      </c>
      <c r="D206" t="s">
        <v>431</v>
      </c>
      <c r="E206" s="77">
        <v>4</v>
      </c>
      <c r="F206" s="77">
        <v>2002</v>
      </c>
      <c r="G206" s="77">
        <v>8008</v>
      </c>
    </row>
    <row r="207" spans="2:7" x14ac:dyDescent="0.35">
      <c r="D207" t="s">
        <v>491</v>
      </c>
      <c r="E207" s="77">
        <v>4</v>
      </c>
      <c r="F207" s="77">
        <v>2002</v>
      </c>
      <c r="G207" s="77">
        <v>8008</v>
      </c>
    </row>
    <row r="208" spans="2:7" x14ac:dyDescent="0.35">
      <c r="C208" t="s">
        <v>551</v>
      </c>
      <c r="D208" t="s">
        <v>435</v>
      </c>
      <c r="E208" s="77">
        <v>2</v>
      </c>
      <c r="F208" s="77">
        <v>240</v>
      </c>
      <c r="G208" s="77">
        <v>480</v>
      </c>
    </row>
    <row r="209" spans="1:7" x14ac:dyDescent="0.35">
      <c r="B209" s="79" t="s">
        <v>450</v>
      </c>
      <c r="C209" s="79"/>
      <c r="D209" s="79"/>
      <c r="E209" s="80">
        <v>60</v>
      </c>
      <c r="F209" s="80">
        <v>10302</v>
      </c>
      <c r="G209" s="80">
        <v>57526</v>
      </c>
    </row>
    <row r="210" spans="1:7" x14ac:dyDescent="0.35">
      <c r="B210" t="s">
        <v>461</v>
      </c>
      <c r="C210">
        <v>18084</v>
      </c>
      <c r="D210" t="s">
        <v>462</v>
      </c>
      <c r="E210" s="77">
        <v>12</v>
      </c>
      <c r="F210" s="77">
        <v>700</v>
      </c>
      <c r="G210" s="77">
        <v>8400</v>
      </c>
    </row>
    <row r="211" spans="1:7" x14ac:dyDescent="0.35">
      <c r="B211" s="79" t="s">
        <v>472</v>
      </c>
      <c r="C211" s="79"/>
      <c r="D211" s="79"/>
      <c r="E211" s="80">
        <v>12</v>
      </c>
      <c r="F211" s="80">
        <v>700</v>
      </c>
      <c r="G211" s="80">
        <v>8400</v>
      </c>
    </row>
    <row r="212" spans="1:7" x14ac:dyDescent="0.35">
      <c r="B212" t="s">
        <v>502</v>
      </c>
      <c r="C212" t="s">
        <v>532</v>
      </c>
      <c r="D212" t="s">
        <v>518</v>
      </c>
      <c r="E212" s="77">
        <v>10</v>
      </c>
      <c r="F212" s="77">
        <v>333</v>
      </c>
      <c r="G212" s="77">
        <v>3330</v>
      </c>
    </row>
    <row r="213" spans="1:7" x14ac:dyDescent="0.35">
      <c r="C213" t="s">
        <v>594</v>
      </c>
      <c r="D213" t="s">
        <v>591</v>
      </c>
      <c r="E213" s="77">
        <v>8</v>
      </c>
      <c r="F213" s="77">
        <v>362.6</v>
      </c>
      <c r="G213" s="77">
        <v>2900.8</v>
      </c>
    </row>
    <row r="214" spans="1:7" x14ac:dyDescent="0.35">
      <c r="D214" t="s">
        <v>592</v>
      </c>
      <c r="E214" s="77">
        <v>2</v>
      </c>
      <c r="F214" s="77">
        <v>486</v>
      </c>
      <c r="G214" s="77">
        <v>972</v>
      </c>
    </row>
    <row r="215" spans="1:7" x14ac:dyDescent="0.35">
      <c r="D215" t="s">
        <v>593</v>
      </c>
      <c r="E215" s="77">
        <v>4</v>
      </c>
      <c r="F215" s="77">
        <v>595.20000000000005</v>
      </c>
      <c r="G215" s="77">
        <v>2380.8000000000002</v>
      </c>
    </row>
    <row r="216" spans="1:7" x14ac:dyDescent="0.35">
      <c r="C216" t="s">
        <v>603</v>
      </c>
      <c r="D216" t="s">
        <v>591</v>
      </c>
      <c r="E216" s="77">
        <v>2</v>
      </c>
      <c r="F216" s="77">
        <v>362.6</v>
      </c>
      <c r="G216" s="77">
        <v>725.2</v>
      </c>
    </row>
    <row r="217" spans="1:7" x14ac:dyDescent="0.35">
      <c r="C217" t="s">
        <v>604</v>
      </c>
      <c r="D217" t="s">
        <v>591</v>
      </c>
      <c r="E217" s="77">
        <v>2</v>
      </c>
      <c r="F217" s="77">
        <v>362.6</v>
      </c>
      <c r="G217" s="77">
        <v>725.2</v>
      </c>
    </row>
    <row r="218" spans="1:7" x14ac:dyDescent="0.35">
      <c r="B218" s="79" t="s">
        <v>517</v>
      </c>
      <c r="C218" s="79"/>
      <c r="D218" s="79"/>
      <c r="E218" s="80">
        <v>28</v>
      </c>
      <c r="F218" s="80">
        <v>2502</v>
      </c>
      <c r="G218" s="80">
        <v>11034.000000000002</v>
      </c>
    </row>
    <row r="219" spans="1:7" x14ac:dyDescent="0.35">
      <c r="A219" s="132" t="s">
        <v>475</v>
      </c>
      <c r="B219" s="132"/>
      <c r="C219" s="132"/>
      <c r="D219" s="132"/>
      <c r="E219" s="133">
        <v>1145</v>
      </c>
      <c r="F219" s="133">
        <v>80180.550000000017</v>
      </c>
      <c r="G219" s="133">
        <v>547074.69999999995</v>
      </c>
    </row>
    <row r="220" spans="1:7" x14ac:dyDescent="0.35">
      <c r="A220">
        <v>2022</v>
      </c>
      <c r="B220" t="s">
        <v>10</v>
      </c>
      <c r="C220" t="s">
        <v>335</v>
      </c>
      <c r="D220" t="s">
        <v>265</v>
      </c>
      <c r="E220" s="77">
        <v>1</v>
      </c>
      <c r="F220" s="77">
        <v>345</v>
      </c>
      <c r="G220" s="77">
        <v>345</v>
      </c>
    </row>
    <row r="221" spans="1:7" x14ac:dyDescent="0.35">
      <c r="D221" t="s">
        <v>233</v>
      </c>
      <c r="E221" s="77">
        <v>2</v>
      </c>
      <c r="F221" s="77">
        <v>390</v>
      </c>
      <c r="G221" s="77">
        <v>780</v>
      </c>
    </row>
    <row r="222" spans="1:7" x14ac:dyDescent="0.35">
      <c r="D222" t="s">
        <v>19</v>
      </c>
      <c r="E222" s="77">
        <v>52</v>
      </c>
      <c r="F222" s="77">
        <v>280</v>
      </c>
      <c r="G222" s="77">
        <v>4880</v>
      </c>
    </row>
    <row r="223" spans="1:7" x14ac:dyDescent="0.35">
      <c r="D223" t="s">
        <v>180</v>
      </c>
      <c r="E223" s="77">
        <v>20</v>
      </c>
      <c r="F223" s="77">
        <v>475.2</v>
      </c>
      <c r="G223" s="77">
        <v>9504</v>
      </c>
    </row>
    <row r="224" spans="1:7" x14ac:dyDescent="0.35">
      <c r="D224" t="s">
        <v>29</v>
      </c>
      <c r="E224" s="77">
        <v>45</v>
      </c>
      <c r="F224" s="77">
        <v>7315</v>
      </c>
      <c r="G224" s="77">
        <v>82225</v>
      </c>
    </row>
    <row r="225" spans="2:7" x14ac:dyDescent="0.35">
      <c r="D225" t="s">
        <v>254</v>
      </c>
      <c r="E225" s="77">
        <v>1</v>
      </c>
      <c r="F225" s="77">
        <v>110</v>
      </c>
      <c r="G225" s="77">
        <v>110</v>
      </c>
    </row>
    <row r="226" spans="2:7" x14ac:dyDescent="0.35">
      <c r="D226" t="s">
        <v>64</v>
      </c>
      <c r="E226" s="77">
        <v>40</v>
      </c>
      <c r="F226" s="77">
        <v>5632</v>
      </c>
      <c r="G226" s="77">
        <v>75130</v>
      </c>
    </row>
    <row r="227" spans="2:7" x14ac:dyDescent="0.35">
      <c r="D227" t="s">
        <v>28</v>
      </c>
      <c r="E227" s="77">
        <v>120</v>
      </c>
      <c r="F227" s="77">
        <v>97.5</v>
      </c>
      <c r="G227" s="77">
        <v>3900</v>
      </c>
    </row>
    <row r="228" spans="2:7" x14ac:dyDescent="0.35">
      <c r="D228" t="s">
        <v>405</v>
      </c>
      <c r="E228" s="77">
        <v>20</v>
      </c>
      <c r="F228" s="77">
        <v>65</v>
      </c>
      <c r="G228" s="77">
        <v>1300</v>
      </c>
    </row>
    <row r="229" spans="2:7" x14ac:dyDescent="0.35">
      <c r="D229" t="s">
        <v>824</v>
      </c>
      <c r="E229" s="77">
        <v>40</v>
      </c>
      <c r="F229" s="77">
        <v>576</v>
      </c>
      <c r="G229" s="77">
        <v>11520</v>
      </c>
    </row>
    <row r="230" spans="2:7" x14ac:dyDescent="0.35">
      <c r="D230" t="s">
        <v>826</v>
      </c>
      <c r="E230" s="77">
        <v>10</v>
      </c>
      <c r="F230" s="77">
        <v>1870</v>
      </c>
      <c r="G230" s="77">
        <v>18700</v>
      </c>
    </row>
    <row r="231" spans="2:7" x14ac:dyDescent="0.35">
      <c r="B231" s="79" t="s">
        <v>294</v>
      </c>
      <c r="C231" s="79"/>
      <c r="D231" s="79"/>
      <c r="E231" s="80">
        <v>351</v>
      </c>
      <c r="F231" s="80">
        <v>17155.7</v>
      </c>
      <c r="G231" s="80">
        <v>208394</v>
      </c>
    </row>
    <row r="232" spans="2:7" x14ac:dyDescent="0.35">
      <c r="B232" t="s">
        <v>307</v>
      </c>
      <c r="C232" t="s">
        <v>650</v>
      </c>
      <c r="D232" t="s">
        <v>645</v>
      </c>
      <c r="E232" s="77">
        <v>4</v>
      </c>
      <c r="F232" s="77">
        <v>305</v>
      </c>
      <c r="G232" s="77">
        <v>1220</v>
      </c>
    </row>
    <row r="233" spans="2:7" x14ac:dyDescent="0.35">
      <c r="C233" t="s">
        <v>728</v>
      </c>
      <c r="D233" t="s">
        <v>645</v>
      </c>
      <c r="E233" s="77">
        <v>4</v>
      </c>
      <c r="F233" s="77">
        <v>305</v>
      </c>
      <c r="G233" s="77">
        <v>1220</v>
      </c>
    </row>
    <row r="234" spans="2:7" x14ac:dyDescent="0.35">
      <c r="C234" t="s">
        <v>807</v>
      </c>
      <c r="D234" t="s">
        <v>645</v>
      </c>
      <c r="E234" s="77">
        <v>4</v>
      </c>
      <c r="F234" s="77">
        <v>320</v>
      </c>
      <c r="G234" s="77">
        <v>1280</v>
      </c>
    </row>
    <row r="235" spans="2:7" x14ac:dyDescent="0.35">
      <c r="B235" s="79" t="s">
        <v>398</v>
      </c>
      <c r="C235" s="79"/>
      <c r="D235" s="79"/>
      <c r="E235" s="80">
        <v>12</v>
      </c>
      <c r="F235" s="80">
        <v>930</v>
      </c>
      <c r="G235" s="80">
        <v>3720</v>
      </c>
    </row>
    <row r="236" spans="2:7" x14ac:dyDescent="0.35">
      <c r="B236" t="s">
        <v>347</v>
      </c>
      <c r="C236" t="s">
        <v>651</v>
      </c>
      <c r="D236" t="s">
        <v>489</v>
      </c>
      <c r="E236" s="77">
        <v>6</v>
      </c>
      <c r="F236" s="77">
        <v>1936</v>
      </c>
      <c r="G236" s="77">
        <v>11616</v>
      </c>
    </row>
    <row r="237" spans="2:7" x14ac:dyDescent="0.35">
      <c r="D237" t="s">
        <v>583</v>
      </c>
      <c r="E237" s="77">
        <v>4</v>
      </c>
      <c r="F237" s="77">
        <v>1936</v>
      </c>
      <c r="G237" s="77">
        <v>7744</v>
      </c>
    </row>
    <row r="238" spans="2:7" x14ac:dyDescent="0.35">
      <c r="D238" t="s">
        <v>624</v>
      </c>
      <c r="E238" s="77">
        <v>20</v>
      </c>
      <c r="F238" s="77">
        <v>270</v>
      </c>
      <c r="G238" s="77">
        <v>5400</v>
      </c>
    </row>
    <row r="239" spans="2:7" x14ac:dyDescent="0.35">
      <c r="D239" t="s">
        <v>625</v>
      </c>
      <c r="E239" s="77">
        <v>2</v>
      </c>
      <c r="F239" s="77">
        <v>270</v>
      </c>
      <c r="G239" s="77">
        <v>540</v>
      </c>
    </row>
    <row r="240" spans="2:7" x14ac:dyDescent="0.35">
      <c r="C240" t="s">
        <v>652</v>
      </c>
      <c r="D240" t="s">
        <v>489</v>
      </c>
      <c r="E240" s="77">
        <v>2</v>
      </c>
      <c r="F240" s="77">
        <v>1936</v>
      </c>
      <c r="G240" s="77">
        <v>3872</v>
      </c>
    </row>
    <row r="241" spans="2:7" x14ac:dyDescent="0.35">
      <c r="D241" t="s">
        <v>583</v>
      </c>
      <c r="E241" s="77">
        <v>8</v>
      </c>
      <c r="F241" s="77">
        <v>1936</v>
      </c>
      <c r="G241" s="77">
        <v>15488</v>
      </c>
    </row>
    <row r="242" spans="2:7" x14ac:dyDescent="0.35">
      <c r="D242" t="s">
        <v>634</v>
      </c>
      <c r="E242" s="77">
        <v>20</v>
      </c>
      <c r="F242" s="77">
        <v>283.5</v>
      </c>
      <c r="G242" s="77">
        <v>5670</v>
      </c>
    </row>
    <row r="243" spans="2:7" x14ac:dyDescent="0.35">
      <c r="C243" t="s">
        <v>653</v>
      </c>
      <c r="D243" t="s">
        <v>624</v>
      </c>
      <c r="E243" s="77">
        <v>4</v>
      </c>
      <c r="F243" s="77">
        <v>270</v>
      </c>
      <c r="G243" s="77">
        <v>1080</v>
      </c>
    </row>
    <row r="244" spans="2:7" x14ac:dyDescent="0.35">
      <c r="D244" t="s">
        <v>625</v>
      </c>
      <c r="E244" s="77">
        <v>6</v>
      </c>
      <c r="F244" s="77">
        <v>270</v>
      </c>
      <c r="G244" s="77">
        <v>1620</v>
      </c>
    </row>
    <row r="245" spans="2:7" x14ac:dyDescent="0.35">
      <c r="C245" t="s">
        <v>654</v>
      </c>
      <c r="D245" t="s">
        <v>583</v>
      </c>
      <c r="E245" s="77">
        <v>4</v>
      </c>
      <c r="F245" s="77">
        <v>1936</v>
      </c>
      <c r="G245" s="77">
        <v>7744</v>
      </c>
    </row>
    <row r="246" spans="2:7" x14ac:dyDescent="0.35">
      <c r="D246" t="s">
        <v>655</v>
      </c>
      <c r="E246" s="77">
        <v>1</v>
      </c>
      <c r="F246" s="77">
        <v>1936</v>
      </c>
      <c r="G246" s="77">
        <v>1936</v>
      </c>
    </row>
    <row r="247" spans="2:7" x14ac:dyDescent="0.35">
      <c r="D247" t="s">
        <v>687</v>
      </c>
      <c r="E247" s="77">
        <v>12</v>
      </c>
      <c r="F247" s="77">
        <v>46</v>
      </c>
      <c r="G247" s="77">
        <v>552</v>
      </c>
    </row>
    <row r="248" spans="2:7" x14ac:dyDescent="0.35">
      <c r="C248" t="s">
        <v>656</v>
      </c>
      <c r="D248" t="s">
        <v>489</v>
      </c>
      <c r="E248" s="77">
        <v>9</v>
      </c>
      <c r="F248" s="77">
        <v>1936</v>
      </c>
      <c r="G248" s="77">
        <v>17424</v>
      </c>
    </row>
    <row r="249" spans="2:7" x14ac:dyDescent="0.35">
      <c r="D249" t="s">
        <v>624</v>
      </c>
      <c r="E249" s="77">
        <v>20</v>
      </c>
      <c r="F249" s="77">
        <v>270</v>
      </c>
      <c r="G249" s="77">
        <v>5400</v>
      </c>
    </row>
    <row r="250" spans="2:7" x14ac:dyDescent="0.35">
      <c r="D250" t="s">
        <v>625</v>
      </c>
      <c r="E250" s="77">
        <v>5</v>
      </c>
      <c r="F250" s="77">
        <v>270</v>
      </c>
      <c r="G250" s="77">
        <v>1350</v>
      </c>
    </row>
    <row r="251" spans="2:7" x14ac:dyDescent="0.35">
      <c r="D251" t="s">
        <v>655</v>
      </c>
      <c r="E251" s="77">
        <v>1</v>
      </c>
      <c r="F251" s="77">
        <v>1936</v>
      </c>
      <c r="G251" s="77">
        <v>1936</v>
      </c>
    </row>
    <row r="252" spans="2:7" x14ac:dyDescent="0.35">
      <c r="D252" t="s">
        <v>657</v>
      </c>
      <c r="E252" s="77">
        <v>10</v>
      </c>
      <c r="F252" s="77">
        <v>486</v>
      </c>
      <c r="G252" s="77">
        <v>4860</v>
      </c>
    </row>
    <row r="253" spans="2:7" x14ac:dyDescent="0.35">
      <c r="C253" t="s">
        <v>678</v>
      </c>
      <c r="D253" t="s">
        <v>625</v>
      </c>
      <c r="E253" s="77">
        <v>10</v>
      </c>
      <c r="F253" s="77">
        <v>270</v>
      </c>
      <c r="G253" s="77">
        <v>2700</v>
      </c>
    </row>
    <row r="254" spans="2:7" x14ac:dyDescent="0.35">
      <c r="B254" s="79" t="s">
        <v>402</v>
      </c>
      <c r="C254" s="79"/>
      <c r="D254" s="79"/>
      <c r="E254" s="80">
        <v>144</v>
      </c>
      <c r="F254" s="80">
        <v>18193.5</v>
      </c>
      <c r="G254" s="80">
        <v>96932</v>
      </c>
    </row>
    <row r="255" spans="2:7" x14ac:dyDescent="0.35">
      <c r="B255" t="s">
        <v>429</v>
      </c>
      <c r="C255" t="s">
        <v>729</v>
      </c>
      <c r="D255" t="s">
        <v>767</v>
      </c>
      <c r="E255" s="77">
        <v>24</v>
      </c>
      <c r="F255" s="77">
        <v>55</v>
      </c>
      <c r="G255" s="77">
        <v>1320</v>
      </c>
    </row>
    <row r="256" spans="2:7" x14ac:dyDescent="0.35">
      <c r="C256" t="s">
        <v>805</v>
      </c>
      <c r="D256" t="s">
        <v>767</v>
      </c>
      <c r="E256" s="77">
        <v>20</v>
      </c>
      <c r="F256" s="77">
        <v>55</v>
      </c>
      <c r="G256" s="77">
        <v>1100</v>
      </c>
    </row>
    <row r="257" spans="2:7" x14ac:dyDescent="0.35">
      <c r="B257" s="79" t="s">
        <v>450</v>
      </c>
      <c r="C257" s="79"/>
      <c r="D257" s="79"/>
      <c r="E257" s="80">
        <v>44</v>
      </c>
      <c r="F257" s="80">
        <v>110</v>
      </c>
      <c r="G257" s="80">
        <v>2420</v>
      </c>
    </row>
    <row r="258" spans="2:7" x14ac:dyDescent="0.35">
      <c r="B258" t="s">
        <v>690</v>
      </c>
      <c r="C258" t="s">
        <v>335</v>
      </c>
      <c r="D258" t="s">
        <v>691</v>
      </c>
      <c r="E258" s="77">
        <v>1</v>
      </c>
      <c r="F258" s="77">
        <v>1870</v>
      </c>
      <c r="G258" s="77">
        <v>1870</v>
      </c>
    </row>
    <row r="259" spans="2:7" x14ac:dyDescent="0.35">
      <c r="D259" t="s">
        <v>724</v>
      </c>
      <c r="E259" s="77">
        <v>1</v>
      </c>
      <c r="F259" s="77">
        <v>310</v>
      </c>
      <c r="G259" s="77">
        <v>310</v>
      </c>
    </row>
    <row r="260" spans="2:7" x14ac:dyDescent="0.35">
      <c r="D260" t="s">
        <v>722</v>
      </c>
      <c r="E260" s="77">
        <v>2</v>
      </c>
      <c r="F260" s="77">
        <v>180</v>
      </c>
      <c r="G260" s="77">
        <v>360</v>
      </c>
    </row>
    <row r="261" spans="2:7" x14ac:dyDescent="0.35">
      <c r="D261" t="s">
        <v>733</v>
      </c>
      <c r="E261" s="77">
        <v>97</v>
      </c>
      <c r="F261" s="77">
        <v>1644</v>
      </c>
      <c r="G261" s="77">
        <v>26661</v>
      </c>
    </row>
    <row r="262" spans="2:7" x14ac:dyDescent="0.35">
      <c r="D262" t="s">
        <v>748</v>
      </c>
      <c r="E262" s="77">
        <v>36</v>
      </c>
      <c r="F262" s="77">
        <v>1290</v>
      </c>
      <c r="G262" s="77">
        <v>9288</v>
      </c>
    </row>
    <row r="263" spans="2:7" x14ac:dyDescent="0.35">
      <c r="D263" t="s">
        <v>749</v>
      </c>
      <c r="E263" s="77">
        <v>1</v>
      </c>
      <c r="F263" s="77">
        <v>250</v>
      </c>
      <c r="G263" s="77">
        <v>250</v>
      </c>
    </row>
    <row r="264" spans="2:7" x14ac:dyDescent="0.35">
      <c r="D264" t="s">
        <v>752</v>
      </c>
      <c r="E264" s="77">
        <v>1</v>
      </c>
      <c r="F264" s="77">
        <v>896.5</v>
      </c>
      <c r="G264" s="77">
        <v>896.5</v>
      </c>
    </row>
    <row r="265" spans="2:7" x14ac:dyDescent="0.35">
      <c r="D265" t="s">
        <v>769</v>
      </c>
      <c r="E265" s="77">
        <v>10</v>
      </c>
      <c r="F265" s="77">
        <v>3250</v>
      </c>
      <c r="G265" s="77">
        <v>6500</v>
      </c>
    </row>
    <row r="266" spans="2:7" x14ac:dyDescent="0.35">
      <c r="D266" t="s">
        <v>768</v>
      </c>
      <c r="E266" s="77">
        <v>1</v>
      </c>
      <c r="F266" s="77">
        <v>321.25</v>
      </c>
      <c r="G266" s="77">
        <v>321.25</v>
      </c>
    </row>
    <row r="267" spans="2:7" x14ac:dyDescent="0.35">
      <c r="D267" t="s">
        <v>822</v>
      </c>
      <c r="E267" s="77">
        <v>8</v>
      </c>
      <c r="F267" s="77">
        <v>3740</v>
      </c>
      <c r="G267" s="77">
        <v>14960</v>
      </c>
    </row>
    <row r="268" spans="2:7" x14ac:dyDescent="0.35">
      <c r="D268" t="s">
        <v>825</v>
      </c>
      <c r="E268" s="77">
        <v>3</v>
      </c>
      <c r="F268" s="77">
        <v>370</v>
      </c>
      <c r="G268" s="77">
        <v>1110</v>
      </c>
    </row>
    <row r="269" spans="2:7" x14ac:dyDescent="0.35">
      <c r="D269" t="s">
        <v>828</v>
      </c>
      <c r="E269" s="77">
        <v>1</v>
      </c>
      <c r="F269" s="77">
        <v>1092.3</v>
      </c>
      <c r="G269" s="77">
        <v>1092.3</v>
      </c>
    </row>
    <row r="270" spans="2:7" x14ac:dyDescent="0.35">
      <c r="C270" t="s">
        <v>720</v>
      </c>
      <c r="D270" t="s">
        <v>691</v>
      </c>
      <c r="E270" s="77">
        <v>1</v>
      </c>
      <c r="F270" s="77">
        <v>1804</v>
      </c>
      <c r="G270" s="77">
        <v>1804</v>
      </c>
    </row>
    <row r="271" spans="2:7" x14ac:dyDescent="0.35">
      <c r="C271" t="s">
        <v>721</v>
      </c>
      <c r="D271" t="s">
        <v>691</v>
      </c>
      <c r="E271" s="77">
        <v>1</v>
      </c>
      <c r="F271" s="77">
        <v>1859</v>
      </c>
      <c r="G271" s="77">
        <v>1859</v>
      </c>
    </row>
    <row r="272" spans="2:7" x14ac:dyDescent="0.35">
      <c r="D272" t="s">
        <v>723</v>
      </c>
      <c r="E272" s="77">
        <v>1</v>
      </c>
      <c r="F272" s="77">
        <v>160</v>
      </c>
      <c r="G272" s="77">
        <v>160</v>
      </c>
    </row>
    <row r="273" spans="1:7" x14ac:dyDescent="0.35">
      <c r="D273" t="s">
        <v>724</v>
      </c>
      <c r="E273" s="77">
        <v>1</v>
      </c>
      <c r="F273" s="77">
        <v>310</v>
      </c>
      <c r="G273" s="77">
        <v>310</v>
      </c>
    </row>
    <row r="274" spans="1:7" x14ac:dyDescent="0.35">
      <c r="D274" t="s">
        <v>722</v>
      </c>
      <c r="E274" s="77">
        <v>2</v>
      </c>
      <c r="F274" s="77">
        <v>185</v>
      </c>
      <c r="G274" s="77">
        <v>370</v>
      </c>
    </row>
    <row r="275" spans="1:7" x14ac:dyDescent="0.35">
      <c r="C275" t="s">
        <v>731</v>
      </c>
      <c r="D275" t="s">
        <v>733</v>
      </c>
      <c r="E275" s="77">
        <v>20</v>
      </c>
      <c r="F275" s="77">
        <v>273</v>
      </c>
      <c r="G275" s="77">
        <v>5460</v>
      </c>
    </row>
    <row r="276" spans="1:7" x14ac:dyDescent="0.35">
      <c r="D276" t="s">
        <v>732</v>
      </c>
      <c r="E276" s="77">
        <v>10</v>
      </c>
      <c r="F276" s="77">
        <v>546</v>
      </c>
      <c r="G276" s="77">
        <v>5460</v>
      </c>
    </row>
    <row r="277" spans="1:7" x14ac:dyDescent="0.35">
      <c r="C277" t="s">
        <v>796</v>
      </c>
      <c r="D277" t="s">
        <v>795</v>
      </c>
      <c r="E277" s="77">
        <v>2</v>
      </c>
      <c r="F277" s="77">
        <v>69.5</v>
      </c>
      <c r="G277" s="77">
        <v>139</v>
      </c>
    </row>
    <row r="278" spans="1:7" x14ac:dyDescent="0.35">
      <c r="C278" t="s">
        <v>806</v>
      </c>
      <c r="D278" t="s">
        <v>799</v>
      </c>
      <c r="E278" s="77">
        <v>5</v>
      </c>
      <c r="F278" s="77">
        <v>491.4</v>
      </c>
      <c r="G278" s="77">
        <v>2457</v>
      </c>
    </row>
    <row r="279" spans="1:7" x14ac:dyDescent="0.35">
      <c r="C279" t="s">
        <v>804</v>
      </c>
      <c r="D279" t="s">
        <v>733</v>
      </c>
      <c r="E279" s="77">
        <v>10</v>
      </c>
      <c r="F279" s="77">
        <v>273</v>
      </c>
      <c r="G279" s="77">
        <v>2730</v>
      </c>
    </row>
    <row r="280" spans="1:7" x14ac:dyDescent="0.35">
      <c r="D280" t="s">
        <v>748</v>
      </c>
      <c r="E280" s="77">
        <v>2</v>
      </c>
      <c r="F280" s="77">
        <v>258</v>
      </c>
      <c r="G280" s="77">
        <v>516</v>
      </c>
    </row>
    <row r="281" spans="1:7" x14ac:dyDescent="0.35">
      <c r="D281" t="s">
        <v>799</v>
      </c>
      <c r="E281" s="77">
        <v>16</v>
      </c>
      <c r="F281" s="77">
        <v>491.4</v>
      </c>
      <c r="G281" s="77">
        <v>7862.4</v>
      </c>
    </row>
    <row r="282" spans="1:7" x14ac:dyDescent="0.35">
      <c r="C282" t="s">
        <v>821</v>
      </c>
      <c r="D282" t="s">
        <v>822</v>
      </c>
      <c r="E282" s="77">
        <v>20</v>
      </c>
      <c r="F282" s="77">
        <v>1870</v>
      </c>
      <c r="G282" s="77">
        <v>37400</v>
      </c>
    </row>
    <row r="283" spans="1:7" x14ac:dyDescent="0.35">
      <c r="D283" t="s">
        <v>823</v>
      </c>
      <c r="E283" s="77">
        <v>15</v>
      </c>
      <c r="F283" s="77">
        <v>1892</v>
      </c>
      <c r="G283" s="77">
        <v>28380</v>
      </c>
    </row>
    <row r="284" spans="1:7" x14ac:dyDescent="0.35">
      <c r="B284" s="79" t="s">
        <v>698</v>
      </c>
      <c r="C284" s="79"/>
      <c r="D284" s="79"/>
      <c r="E284" s="80">
        <v>268</v>
      </c>
      <c r="F284" s="80">
        <v>25696.350000000002</v>
      </c>
      <c r="G284" s="80">
        <v>158526.45000000001</v>
      </c>
    </row>
    <row r="285" spans="1:7" x14ac:dyDescent="0.35">
      <c r="A285" s="132" t="s">
        <v>672</v>
      </c>
      <c r="B285" s="132"/>
      <c r="C285" s="132"/>
      <c r="D285" s="132"/>
      <c r="E285" s="133">
        <v>819</v>
      </c>
      <c r="F285" s="133">
        <v>62085.55</v>
      </c>
      <c r="G285" s="133">
        <v>469992.45</v>
      </c>
    </row>
    <row r="286" spans="1:7" x14ac:dyDescent="0.35">
      <c r="A286" t="s">
        <v>335</v>
      </c>
      <c r="B286" t="s">
        <v>10</v>
      </c>
      <c r="C286" t="s">
        <v>335</v>
      </c>
      <c r="D286" t="s">
        <v>29</v>
      </c>
      <c r="E286" s="77">
        <v>10</v>
      </c>
      <c r="F286" s="77">
        <v>1815</v>
      </c>
      <c r="G286" s="77">
        <v>18150</v>
      </c>
    </row>
    <row r="287" spans="1:7" x14ac:dyDescent="0.35">
      <c r="B287" s="79" t="s">
        <v>294</v>
      </c>
      <c r="C287" s="79"/>
      <c r="D287" s="79"/>
      <c r="E287" s="80">
        <v>10</v>
      </c>
      <c r="F287" s="80">
        <v>1815</v>
      </c>
      <c r="G287" s="80">
        <v>18150</v>
      </c>
    </row>
    <row r="288" spans="1:7" x14ac:dyDescent="0.35">
      <c r="A288" s="132" t="s">
        <v>336</v>
      </c>
      <c r="B288" s="132"/>
      <c r="C288" s="132"/>
      <c r="D288" s="132"/>
      <c r="E288" s="133">
        <v>10</v>
      </c>
      <c r="F288" s="133">
        <v>1815</v>
      </c>
      <c r="G288" s="133">
        <v>18150</v>
      </c>
    </row>
    <row r="289" spans="1:7" x14ac:dyDescent="0.35">
      <c r="A289" s="76" t="s">
        <v>181</v>
      </c>
      <c r="B289" s="76"/>
      <c r="C289" s="76"/>
      <c r="D289" s="76"/>
      <c r="E289" s="78">
        <v>2544</v>
      </c>
      <c r="F289" s="78">
        <v>178259.73999999996</v>
      </c>
      <c r="G289" s="78">
        <v>1248425.6500000001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232"/>
  <sheetViews>
    <sheetView topLeftCell="E89" zoomScaleNormal="100" workbookViewId="0">
      <selection activeCell="O108" sqref="O108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87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36</v>
      </c>
      <c r="D6" s="50">
        <v>20</v>
      </c>
      <c r="E6" s="50">
        <v>16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220</v>
      </c>
      <c r="N7" s="50">
        <v>196</v>
      </c>
      <c r="O7" s="50">
        <v>24</v>
      </c>
    </row>
    <row r="8" spans="1:15" x14ac:dyDescent="0.35">
      <c r="B8" t="s">
        <v>64</v>
      </c>
      <c r="C8" s="50">
        <v>10</v>
      </c>
      <c r="D8" s="50">
        <v>10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28</v>
      </c>
      <c r="C9" s="50">
        <v>40</v>
      </c>
      <c r="D9" s="50">
        <v>40</v>
      </c>
      <c r="E9" s="50">
        <v>0</v>
      </c>
      <c r="F9" s="61"/>
      <c r="G9" s="61"/>
      <c r="H9" s="61"/>
      <c r="L9" t="s">
        <v>180</v>
      </c>
      <c r="M9" s="50">
        <v>61</v>
      </c>
      <c r="N9" s="50">
        <v>45</v>
      </c>
      <c r="O9" s="50">
        <v>16</v>
      </c>
    </row>
    <row r="10" spans="1:15" x14ac:dyDescent="0.35">
      <c r="B10" t="s">
        <v>194</v>
      </c>
      <c r="C10" s="50">
        <v>5</v>
      </c>
      <c r="D10" s="50">
        <v>5</v>
      </c>
      <c r="E10" s="50">
        <v>0</v>
      </c>
      <c r="F10" s="61"/>
      <c r="G10" s="61"/>
      <c r="H10" s="61"/>
      <c r="L10" t="s">
        <v>176</v>
      </c>
      <c r="M10" s="50">
        <v>56</v>
      </c>
      <c r="N10" s="50">
        <v>56</v>
      </c>
      <c r="O10" s="50">
        <v>0</v>
      </c>
    </row>
    <row r="11" spans="1:15" x14ac:dyDescent="0.35">
      <c r="B11" t="s">
        <v>229</v>
      </c>
      <c r="C11" s="50">
        <v>2</v>
      </c>
      <c r="D11" s="50">
        <v>2</v>
      </c>
      <c r="E11" s="50">
        <v>0</v>
      </c>
      <c r="F11" s="61"/>
      <c r="G11" s="61"/>
      <c r="H11" s="61"/>
      <c r="L11" t="s">
        <v>177</v>
      </c>
      <c r="M11" s="50">
        <v>42</v>
      </c>
      <c r="N11" s="50">
        <v>42</v>
      </c>
      <c r="O11" s="50">
        <v>0</v>
      </c>
    </row>
    <row r="12" spans="1:15" x14ac:dyDescent="0.35">
      <c r="B12" t="s">
        <v>318</v>
      </c>
      <c r="C12" s="50">
        <v>20</v>
      </c>
      <c r="D12" s="50">
        <v>13</v>
      </c>
      <c r="E12" s="50">
        <v>7</v>
      </c>
      <c r="F12" s="61"/>
      <c r="G12" s="61"/>
      <c r="H12" s="61"/>
      <c r="L12" t="s">
        <v>16</v>
      </c>
      <c r="M12" s="50">
        <v>96</v>
      </c>
      <c r="N12" s="50">
        <v>96</v>
      </c>
      <c r="O12" s="50">
        <v>0</v>
      </c>
    </row>
    <row r="13" spans="1:15" x14ac:dyDescent="0.35">
      <c r="B13" t="s">
        <v>313</v>
      </c>
      <c r="C13" s="50">
        <v>2</v>
      </c>
      <c r="D13" s="50">
        <v>2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314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334</v>
      </c>
      <c r="C15" s="50">
        <v>2</v>
      </c>
      <c r="D15" s="50">
        <v>2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B16" t="s">
        <v>405</v>
      </c>
      <c r="C16" s="50">
        <v>8</v>
      </c>
      <c r="D16" s="50">
        <v>8</v>
      </c>
      <c r="E16" s="50">
        <v>0</v>
      </c>
      <c r="F16" s="61"/>
      <c r="G16" s="61"/>
      <c r="H16" s="61"/>
      <c r="L16" t="s">
        <v>29</v>
      </c>
      <c r="M16" s="50">
        <v>210</v>
      </c>
      <c r="N16" s="50">
        <v>210</v>
      </c>
      <c r="O16" s="50">
        <v>0</v>
      </c>
    </row>
    <row r="17" spans="1:15" x14ac:dyDescent="0.35">
      <c r="B17" t="s">
        <v>645</v>
      </c>
      <c r="C17" s="50">
        <v>8</v>
      </c>
      <c r="D17" s="50">
        <v>8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691</v>
      </c>
      <c r="C18" s="50">
        <v>1</v>
      </c>
      <c r="D18" s="50">
        <v>1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723</v>
      </c>
      <c r="C19" s="50">
        <v>1</v>
      </c>
      <c r="D19" s="50">
        <v>1</v>
      </c>
      <c r="E19" s="50">
        <v>0</v>
      </c>
      <c r="F19" s="61"/>
      <c r="G19" s="61"/>
      <c r="H19" s="61"/>
      <c r="L19" t="s">
        <v>64</v>
      </c>
      <c r="M19" s="50">
        <v>105</v>
      </c>
      <c r="N19" s="50">
        <v>105</v>
      </c>
      <c r="O19" s="50">
        <v>0</v>
      </c>
    </row>
    <row r="20" spans="1:15" x14ac:dyDescent="0.35">
      <c r="B20" t="s">
        <v>724</v>
      </c>
      <c r="C20" s="50">
        <v>2</v>
      </c>
      <c r="D20" s="50">
        <v>2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722</v>
      </c>
      <c r="C21" s="50">
        <v>4</v>
      </c>
      <c r="D21" s="50">
        <v>4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B22" t="s">
        <v>733</v>
      </c>
      <c r="C22" s="50">
        <v>44</v>
      </c>
      <c r="D22" s="50">
        <v>44</v>
      </c>
      <c r="E22" s="50">
        <v>0</v>
      </c>
      <c r="F22" s="61"/>
      <c r="G22" s="61"/>
      <c r="H22" s="61"/>
      <c r="L22" t="s">
        <v>28</v>
      </c>
      <c r="M22" s="50">
        <v>407</v>
      </c>
      <c r="N22" s="50">
        <v>379</v>
      </c>
      <c r="O22" s="50">
        <v>28</v>
      </c>
    </row>
    <row r="23" spans="1:15" x14ac:dyDescent="0.35">
      <c r="B23" t="s">
        <v>732</v>
      </c>
      <c r="C23" s="50">
        <v>10</v>
      </c>
      <c r="D23" s="50">
        <v>10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748</v>
      </c>
      <c r="C24" s="50">
        <v>19</v>
      </c>
      <c r="D24" s="50">
        <v>19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19</v>
      </c>
      <c r="O24" s="50">
        <v>0</v>
      </c>
    </row>
    <row r="25" spans="1:15" x14ac:dyDescent="0.35">
      <c r="B25" t="s">
        <v>749</v>
      </c>
      <c r="C25" s="50">
        <v>1</v>
      </c>
      <c r="D25" s="50">
        <v>1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752</v>
      </c>
      <c r="C26" s="50">
        <v>1</v>
      </c>
      <c r="D26" s="50">
        <v>1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767</v>
      </c>
      <c r="C27" s="50">
        <v>24</v>
      </c>
      <c r="D27" s="50">
        <v>24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769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236</v>
      </c>
      <c r="M28" s="50">
        <v>4</v>
      </c>
      <c r="N28" s="50">
        <v>4</v>
      </c>
      <c r="O28" s="50">
        <v>0</v>
      </c>
    </row>
    <row r="29" spans="1:15" x14ac:dyDescent="0.35">
      <c r="A29" s="51" t="s">
        <v>186</v>
      </c>
      <c r="B29" s="51"/>
      <c r="C29" s="52">
        <v>264</v>
      </c>
      <c r="D29" s="52">
        <v>241</v>
      </c>
      <c r="E29" s="52">
        <v>23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A30">
        <v>6</v>
      </c>
      <c r="B30" t="s">
        <v>19</v>
      </c>
      <c r="C30" s="50">
        <v>12</v>
      </c>
      <c r="D30" s="50">
        <v>12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177</v>
      </c>
      <c r="C31" s="50">
        <v>16</v>
      </c>
      <c r="D31" s="50">
        <v>16</v>
      </c>
      <c r="E31" s="50">
        <v>0</v>
      </c>
      <c r="F31" s="61"/>
      <c r="G31" s="61"/>
      <c r="H31" s="61"/>
      <c r="L31" t="s">
        <v>229</v>
      </c>
      <c r="M31" s="50">
        <v>7</v>
      </c>
      <c r="N31" s="50">
        <v>7</v>
      </c>
      <c r="O31" s="50">
        <v>0</v>
      </c>
    </row>
    <row r="32" spans="1:15" x14ac:dyDescent="0.35">
      <c r="B32" t="s">
        <v>17</v>
      </c>
      <c r="C32" s="50">
        <v>2</v>
      </c>
      <c r="D32" s="50">
        <v>2</v>
      </c>
      <c r="E32" s="50">
        <v>0</v>
      </c>
      <c r="F32" s="61"/>
      <c r="G32" s="61"/>
      <c r="H32" s="61"/>
      <c r="L32" t="s">
        <v>234</v>
      </c>
      <c r="M32" s="50">
        <v>2</v>
      </c>
      <c r="N32" s="50">
        <v>2</v>
      </c>
      <c r="O32" s="50">
        <v>0</v>
      </c>
    </row>
    <row r="33" spans="1:15" x14ac:dyDescent="0.35">
      <c r="B33" t="s">
        <v>15</v>
      </c>
      <c r="C33" s="50">
        <v>1</v>
      </c>
      <c r="D33" s="50">
        <v>1</v>
      </c>
      <c r="E33" s="50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B34" t="s">
        <v>21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A35" s="51" t="s">
        <v>182</v>
      </c>
      <c r="B35" s="51"/>
      <c r="C35" s="52">
        <v>32</v>
      </c>
      <c r="D35" s="52">
        <v>32</v>
      </c>
      <c r="E35" s="52">
        <v>0</v>
      </c>
      <c r="F35" s="61"/>
      <c r="G35" s="61"/>
      <c r="H35" s="61"/>
      <c r="L35" t="s">
        <v>233</v>
      </c>
      <c r="M35" s="50">
        <v>17</v>
      </c>
      <c r="N35" s="50">
        <v>17</v>
      </c>
      <c r="O35" s="50">
        <v>0</v>
      </c>
    </row>
    <row r="36" spans="1:15" x14ac:dyDescent="0.35">
      <c r="A36">
        <v>7</v>
      </c>
      <c r="B36" t="s">
        <v>19</v>
      </c>
      <c r="C36" s="50">
        <v>20</v>
      </c>
      <c r="D36" s="50">
        <v>20</v>
      </c>
      <c r="E36" s="50">
        <v>0</v>
      </c>
      <c r="F36" s="61"/>
      <c r="G36" s="61"/>
      <c r="H36" s="61"/>
      <c r="L36" t="s">
        <v>239</v>
      </c>
      <c r="M36" s="50">
        <v>16</v>
      </c>
      <c r="N36" s="50">
        <v>11</v>
      </c>
      <c r="O36" s="50">
        <v>5</v>
      </c>
    </row>
    <row r="37" spans="1:15" x14ac:dyDescent="0.35">
      <c r="B37" t="s">
        <v>176</v>
      </c>
      <c r="C37" s="50">
        <v>20</v>
      </c>
      <c r="D37" s="50">
        <v>20</v>
      </c>
      <c r="E37" s="50">
        <v>0</v>
      </c>
      <c r="F37" s="61"/>
      <c r="G37" s="61"/>
      <c r="H37" s="61"/>
      <c r="L37" t="s">
        <v>238</v>
      </c>
      <c r="M37" s="50">
        <v>1</v>
      </c>
      <c r="N37" s="50">
        <v>1</v>
      </c>
      <c r="O37" s="50">
        <v>0</v>
      </c>
    </row>
    <row r="38" spans="1:15" x14ac:dyDescent="0.35">
      <c r="B38" t="s">
        <v>16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245</v>
      </c>
      <c r="M38" s="50">
        <v>28</v>
      </c>
      <c r="N38" s="50">
        <v>26</v>
      </c>
      <c r="O38" s="50">
        <v>2</v>
      </c>
    </row>
    <row r="39" spans="1:15" x14ac:dyDescent="0.35">
      <c r="B39" t="s">
        <v>31</v>
      </c>
      <c r="C39" s="50">
        <v>2</v>
      </c>
      <c r="D39" s="50">
        <v>2</v>
      </c>
      <c r="E39" s="50">
        <v>0</v>
      </c>
      <c r="F39" s="61"/>
      <c r="G39" s="61"/>
      <c r="H39" s="61"/>
      <c r="L39" t="s">
        <v>265</v>
      </c>
      <c r="M39" s="50">
        <v>3</v>
      </c>
      <c r="N39" s="50">
        <v>3</v>
      </c>
      <c r="O39" s="50">
        <v>0</v>
      </c>
    </row>
    <row r="40" spans="1:15" x14ac:dyDescent="0.35">
      <c r="B40" t="s">
        <v>29</v>
      </c>
      <c r="C40" s="50">
        <v>12</v>
      </c>
      <c r="D40" s="50">
        <v>12</v>
      </c>
      <c r="E40" s="50">
        <v>0</v>
      </c>
      <c r="F40" s="61"/>
      <c r="G40" s="61"/>
      <c r="H40" s="61"/>
      <c r="L40" t="s">
        <v>254</v>
      </c>
      <c r="M40" s="50">
        <v>2</v>
      </c>
      <c r="N40" s="50">
        <v>2</v>
      </c>
      <c r="O40" s="50">
        <v>0</v>
      </c>
    </row>
    <row r="41" spans="1:15" x14ac:dyDescent="0.35">
      <c r="B41" t="s">
        <v>15</v>
      </c>
      <c r="C41" s="50">
        <v>1</v>
      </c>
      <c r="D41" s="50">
        <v>1</v>
      </c>
      <c r="E41" s="50">
        <v>0</v>
      </c>
      <c r="F41" s="61"/>
      <c r="G41" s="61"/>
      <c r="H41" s="61"/>
      <c r="L41" t="s">
        <v>270</v>
      </c>
      <c r="M41" s="50">
        <v>3</v>
      </c>
      <c r="N41" s="50">
        <v>3</v>
      </c>
      <c r="O41" s="50">
        <v>0</v>
      </c>
    </row>
    <row r="42" spans="1:15" x14ac:dyDescent="0.35">
      <c r="B42" t="s">
        <v>14</v>
      </c>
      <c r="C42" s="50">
        <v>2</v>
      </c>
      <c r="D42" s="50">
        <v>2</v>
      </c>
      <c r="E42" s="50">
        <v>0</v>
      </c>
      <c r="F42" s="61"/>
      <c r="G42" s="61"/>
      <c r="H42" s="61"/>
      <c r="L42" t="s">
        <v>318</v>
      </c>
      <c r="M42" s="50">
        <v>20</v>
      </c>
      <c r="N42" s="50">
        <v>13</v>
      </c>
      <c r="O42" s="50">
        <v>7</v>
      </c>
    </row>
    <row r="43" spans="1:15" x14ac:dyDescent="0.35">
      <c r="B43" t="s">
        <v>28</v>
      </c>
      <c r="C43" s="50">
        <v>40</v>
      </c>
      <c r="D43" s="50">
        <v>40</v>
      </c>
      <c r="E43" s="50">
        <v>0</v>
      </c>
      <c r="F43" s="61"/>
      <c r="G43" s="61"/>
      <c r="H43" s="61"/>
      <c r="L43" t="s">
        <v>313</v>
      </c>
      <c r="M43" s="50">
        <v>2</v>
      </c>
      <c r="N43" s="50">
        <v>2</v>
      </c>
      <c r="O43" s="50">
        <v>0</v>
      </c>
    </row>
    <row r="44" spans="1:15" x14ac:dyDescent="0.35">
      <c r="B44" t="s">
        <v>37</v>
      </c>
      <c r="C44" s="50">
        <v>1</v>
      </c>
      <c r="D44" s="50">
        <v>1</v>
      </c>
      <c r="E44" s="50">
        <v>0</v>
      </c>
      <c r="F44" s="61"/>
      <c r="G44" s="61"/>
      <c r="H44" s="61"/>
      <c r="L44" t="s">
        <v>314</v>
      </c>
      <c r="M44" s="50">
        <v>2</v>
      </c>
      <c r="N44" s="50">
        <v>2</v>
      </c>
      <c r="O44" s="50">
        <v>0</v>
      </c>
    </row>
    <row r="45" spans="1:15" x14ac:dyDescent="0.35">
      <c r="B45" t="s">
        <v>33</v>
      </c>
      <c r="C45" s="50">
        <v>1</v>
      </c>
      <c r="D45" s="50">
        <v>1</v>
      </c>
      <c r="E45" s="50">
        <v>0</v>
      </c>
      <c r="F45" s="61"/>
      <c r="G45" s="61"/>
      <c r="H45" s="61"/>
      <c r="L45" t="s">
        <v>334</v>
      </c>
      <c r="M45" s="50">
        <v>2</v>
      </c>
      <c r="N45" s="50">
        <v>2</v>
      </c>
      <c r="O45" s="50">
        <v>0</v>
      </c>
    </row>
    <row r="46" spans="1:15" x14ac:dyDescent="0.35">
      <c r="A46" s="51" t="s">
        <v>187</v>
      </c>
      <c r="B46" s="51"/>
      <c r="C46" s="52">
        <v>109</v>
      </c>
      <c r="D46" s="52">
        <v>109</v>
      </c>
      <c r="E46" s="52">
        <v>0</v>
      </c>
      <c r="F46" s="61"/>
      <c r="G46" s="61"/>
      <c r="H46" s="61"/>
      <c r="L46" t="s">
        <v>356</v>
      </c>
      <c r="M46" s="50">
        <v>14</v>
      </c>
      <c r="N46" s="50">
        <v>14</v>
      </c>
      <c r="O46" s="50">
        <v>0</v>
      </c>
    </row>
    <row r="47" spans="1:15" x14ac:dyDescent="0.35">
      <c r="A47">
        <v>8</v>
      </c>
      <c r="B47" t="s">
        <v>63</v>
      </c>
      <c r="C47" s="50">
        <v>1</v>
      </c>
      <c r="D47" s="50">
        <v>1</v>
      </c>
      <c r="E47" s="50">
        <v>0</v>
      </c>
      <c r="F47" s="61"/>
      <c r="G47" s="61"/>
      <c r="H47" s="61"/>
      <c r="L47" t="s">
        <v>357</v>
      </c>
      <c r="M47" s="50">
        <v>3</v>
      </c>
      <c r="N47" s="50">
        <v>3</v>
      </c>
      <c r="O47" s="50">
        <v>0</v>
      </c>
    </row>
    <row r="48" spans="1:15" x14ac:dyDescent="0.35">
      <c r="B48" t="s">
        <v>180</v>
      </c>
      <c r="C48" s="50">
        <v>4</v>
      </c>
      <c r="D48" s="50">
        <v>4</v>
      </c>
      <c r="E48" s="50">
        <v>0</v>
      </c>
      <c r="F48" s="61"/>
      <c r="G48" s="61"/>
      <c r="H48" s="61"/>
      <c r="L48" t="s">
        <v>358</v>
      </c>
      <c r="M48" s="50">
        <v>6</v>
      </c>
      <c r="N48" s="50">
        <v>6</v>
      </c>
      <c r="O48" s="50">
        <v>0</v>
      </c>
    </row>
    <row r="49" spans="1:15" x14ac:dyDescent="0.35">
      <c r="B49" t="s">
        <v>55</v>
      </c>
      <c r="C49" s="50">
        <v>2</v>
      </c>
      <c r="D49" s="50">
        <v>2</v>
      </c>
      <c r="E49" s="50">
        <v>0</v>
      </c>
      <c r="F49" s="61"/>
      <c r="G49" s="61"/>
      <c r="H49" s="61"/>
      <c r="L49" t="s">
        <v>365</v>
      </c>
      <c r="M49" s="50">
        <v>2</v>
      </c>
      <c r="N49" s="50">
        <v>2</v>
      </c>
      <c r="O49" s="50">
        <v>0</v>
      </c>
    </row>
    <row r="50" spans="1:15" x14ac:dyDescent="0.35">
      <c r="B50" t="s">
        <v>17</v>
      </c>
      <c r="C50" s="50">
        <v>4</v>
      </c>
      <c r="D50" s="50">
        <v>4</v>
      </c>
      <c r="E50" s="50">
        <v>0</v>
      </c>
      <c r="F50" s="61"/>
      <c r="G50" s="61"/>
      <c r="H50" s="61"/>
      <c r="L50" t="s">
        <v>373</v>
      </c>
      <c r="M50" s="50">
        <v>1</v>
      </c>
      <c r="N50" s="50">
        <v>1</v>
      </c>
      <c r="O50" s="50">
        <v>0</v>
      </c>
    </row>
    <row r="51" spans="1:15" x14ac:dyDescent="0.35">
      <c r="B51" t="s">
        <v>29</v>
      </c>
      <c r="C51" s="50">
        <v>10</v>
      </c>
      <c r="D51" s="50">
        <v>10</v>
      </c>
      <c r="E51" s="50">
        <v>0</v>
      </c>
      <c r="F51" s="61"/>
      <c r="G51" s="61"/>
      <c r="H51" s="61"/>
      <c r="L51" t="s">
        <v>359</v>
      </c>
      <c r="M51" s="50">
        <v>20</v>
      </c>
      <c r="N51" s="50">
        <v>20</v>
      </c>
      <c r="O51" s="50">
        <v>0</v>
      </c>
    </row>
    <row r="52" spans="1:15" x14ac:dyDescent="0.35">
      <c r="B52" t="s">
        <v>64</v>
      </c>
      <c r="C52" s="50">
        <v>10</v>
      </c>
      <c r="D52" s="50">
        <v>10</v>
      </c>
      <c r="E52" s="50">
        <v>0</v>
      </c>
      <c r="F52" s="61"/>
      <c r="G52" s="61"/>
      <c r="H52" s="61"/>
      <c r="L52" t="s">
        <v>375</v>
      </c>
      <c r="M52" s="50">
        <v>118</v>
      </c>
      <c r="N52" s="50">
        <v>118</v>
      </c>
      <c r="O52" s="50">
        <v>0</v>
      </c>
    </row>
    <row r="53" spans="1:15" x14ac:dyDescent="0.35">
      <c r="B53" t="s">
        <v>37</v>
      </c>
      <c r="C53" s="50">
        <v>2</v>
      </c>
      <c r="D53" s="50">
        <v>2</v>
      </c>
      <c r="E53" s="50">
        <v>0</v>
      </c>
      <c r="F53" s="61"/>
      <c r="G53" s="61"/>
      <c r="H53" s="61"/>
      <c r="L53" t="s">
        <v>378</v>
      </c>
      <c r="M53" s="50">
        <v>16</v>
      </c>
      <c r="N53" s="50">
        <v>16</v>
      </c>
      <c r="O53" s="50">
        <v>0</v>
      </c>
    </row>
    <row r="54" spans="1:15" x14ac:dyDescent="0.35">
      <c r="A54" s="51" t="s">
        <v>185</v>
      </c>
      <c r="B54" s="51"/>
      <c r="C54" s="52">
        <v>33</v>
      </c>
      <c r="D54" s="52">
        <v>33</v>
      </c>
      <c r="E54" s="52">
        <v>0</v>
      </c>
      <c r="F54" s="61"/>
      <c r="G54" s="61"/>
      <c r="H54" s="61"/>
      <c r="L54" t="s">
        <v>405</v>
      </c>
      <c r="M54" s="50">
        <v>89</v>
      </c>
      <c r="N54" s="50">
        <v>89</v>
      </c>
      <c r="O54" s="50">
        <v>0</v>
      </c>
    </row>
    <row r="55" spans="1:15" x14ac:dyDescent="0.35">
      <c r="A55">
        <v>9</v>
      </c>
      <c r="B55" t="s">
        <v>19</v>
      </c>
      <c r="C55" s="50">
        <v>20</v>
      </c>
      <c r="D55" s="50">
        <v>20</v>
      </c>
      <c r="E55" s="50">
        <v>0</v>
      </c>
      <c r="F55" s="61"/>
      <c r="G55" s="61"/>
      <c r="H55" s="61"/>
      <c r="L55" t="s">
        <v>426</v>
      </c>
      <c r="M55" s="50">
        <v>1</v>
      </c>
      <c r="N55" s="50">
        <v>1</v>
      </c>
      <c r="O55" s="50">
        <v>0</v>
      </c>
    </row>
    <row r="56" spans="1:15" x14ac:dyDescent="0.35">
      <c r="B56" t="s">
        <v>180</v>
      </c>
      <c r="C56" s="50">
        <v>6</v>
      </c>
      <c r="D56" s="50">
        <v>6</v>
      </c>
      <c r="E56" s="50">
        <v>0</v>
      </c>
      <c r="F56" s="61"/>
      <c r="G56" s="61"/>
      <c r="H56" s="61"/>
      <c r="L56" t="s">
        <v>436</v>
      </c>
      <c r="M56" s="50">
        <v>4</v>
      </c>
      <c r="N56" s="50">
        <v>4</v>
      </c>
      <c r="O56" s="50">
        <v>0</v>
      </c>
    </row>
    <row r="57" spans="1:15" x14ac:dyDescent="0.35">
      <c r="B57" t="s">
        <v>177</v>
      </c>
      <c r="C57" s="50">
        <v>6</v>
      </c>
      <c r="D57" s="50">
        <v>6</v>
      </c>
      <c r="E57" s="50">
        <v>0</v>
      </c>
      <c r="F57" s="61"/>
      <c r="G57" s="61"/>
      <c r="H57" s="61"/>
      <c r="L57" t="s">
        <v>435</v>
      </c>
      <c r="M57" s="50">
        <v>49</v>
      </c>
      <c r="N57" s="50">
        <v>49</v>
      </c>
      <c r="O57" s="50">
        <v>0</v>
      </c>
    </row>
    <row r="58" spans="1:15" x14ac:dyDescent="0.35">
      <c r="B58" t="s">
        <v>16</v>
      </c>
      <c r="C58" s="50">
        <v>30</v>
      </c>
      <c r="D58" s="50">
        <v>30</v>
      </c>
      <c r="E58" s="50">
        <v>0</v>
      </c>
      <c r="F58" s="61"/>
      <c r="G58" s="61"/>
      <c r="H58" s="61"/>
      <c r="L58" t="s">
        <v>431</v>
      </c>
      <c r="M58" s="50">
        <v>13</v>
      </c>
      <c r="N58" s="50">
        <v>13</v>
      </c>
      <c r="O58" s="50">
        <v>0</v>
      </c>
    </row>
    <row r="59" spans="1:15" x14ac:dyDescent="0.35">
      <c r="B59" t="s">
        <v>31</v>
      </c>
      <c r="C59" s="50">
        <v>2</v>
      </c>
      <c r="D59" s="50">
        <v>2</v>
      </c>
      <c r="E59" s="50">
        <v>0</v>
      </c>
      <c r="F59" s="61"/>
      <c r="G59" s="61"/>
      <c r="H59" s="61"/>
      <c r="L59" t="s">
        <v>430</v>
      </c>
      <c r="M59" s="50">
        <v>10</v>
      </c>
      <c r="N59" s="50">
        <v>10</v>
      </c>
      <c r="O59" s="50">
        <v>0</v>
      </c>
    </row>
    <row r="60" spans="1:15" x14ac:dyDescent="0.35">
      <c r="B60" t="s">
        <v>29</v>
      </c>
      <c r="C60" s="50">
        <v>27</v>
      </c>
      <c r="D60" s="50">
        <v>27</v>
      </c>
      <c r="E60" s="50">
        <v>0</v>
      </c>
      <c r="F60" s="61"/>
      <c r="G60" s="61"/>
      <c r="H60" s="61"/>
      <c r="L60" t="s">
        <v>432</v>
      </c>
      <c r="M60" s="50">
        <v>12</v>
      </c>
      <c r="N60" s="50">
        <v>12</v>
      </c>
      <c r="O60" s="50">
        <v>0</v>
      </c>
    </row>
    <row r="61" spans="1:15" x14ac:dyDescent="0.35">
      <c r="B61" t="s">
        <v>64</v>
      </c>
      <c r="C61" s="50">
        <v>10</v>
      </c>
      <c r="D61" s="50">
        <v>10</v>
      </c>
      <c r="E61" s="50">
        <v>0</v>
      </c>
      <c r="F61" s="61"/>
      <c r="G61" s="61"/>
      <c r="H61" s="61"/>
      <c r="L61" t="s">
        <v>447</v>
      </c>
      <c r="M61" s="50">
        <v>3</v>
      </c>
      <c r="N61" s="50">
        <v>3</v>
      </c>
      <c r="O61" s="50">
        <v>0</v>
      </c>
    </row>
    <row r="62" spans="1:15" x14ac:dyDescent="0.35">
      <c r="B62" t="s">
        <v>37</v>
      </c>
      <c r="C62" s="50">
        <v>6</v>
      </c>
      <c r="D62" s="50">
        <v>6</v>
      </c>
      <c r="E62" s="50">
        <v>0</v>
      </c>
      <c r="F62" s="61"/>
      <c r="G62" s="61"/>
      <c r="H62" s="61"/>
      <c r="L62" t="s">
        <v>458</v>
      </c>
      <c r="M62" s="50">
        <v>9</v>
      </c>
      <c r="N62" s="50">
        <v>9</v>
      </c>
      <c r="O62" s="50">
        <v>0</v>
      </c>
    </row>
    <row r="63" spans="1:15" x14ac:dyDescent="0.35">
      <c r="B63" t="s">
        <v>33</v>
      </c>
      <c r="C63" s="50">
        <v>1</v>
      </c>
      <c r="D63" s="50">
        <v>1</v>
      </c>
      <c r="E63" s="50">
        <v>0</v>
      </c>
      <c r="F63" s="61"/>
      <c r="G63" s="61"/>
      <c r="H63" s="61"/>
      <c r="L63" t="s">
        <v>462</v>
      </c>
      <c r="M63" s="50">
        <v>12</v>
      </c>
      <c r="N63" s="50">
        <v>12</v>
      </c>
      <c r="O63" s="50">
        <v>0</v>
      </c>
    </row>
    <row r="64" spans="1:15" x14ac:dyDescent="0.35">
      <c r="B64" t="s">
        <v>233</v>
      </c>
      <c r="C64" s="50">
        <v>2</v>
      </c>
      <c r="D64" s="50">
        <v>2</v>
      </c>
      <c r="E64" s="50">
        <v>0</v>
      </c>
      <c r="F64" s="61"/>
      <c r="G64" s="61"/>
      <c r="H64" s="61"/>
      <c r="L64" t="s">
        <v>491</v>
      </c>
      <c r="M64" s="50">
        <v>14</v>
      </c>
      <c r="N64" s="50">
        <v>14</v>
      </c>
      <c r="O64" s="50">
        <v>0</v>
      </c>
    </row>
    <row r="65" spans="1:15" x14ac:dyDescent="0.35">
      <c r="B65" t="s">
        <v>265</v>
      </c>
      <c r="C65" s="50">
        <v>1</v>
      </c>
      <c r="D65" s="50">
        <v>1</v>
      </c>
      <c r="E65" s="50">
        <v>0</v>
      </c>
      <c r="F65" s="61"/>
      <c r="G65" s="61"/>
      <c r="H65" s="61"/>
      <c r="L65" t="s">
        <v>489</v>
      </c>
      <c r="M65" s="50">
        <v>42</v>
      </c>
      <c r="N65" s="50">
        <v>42</v>
      </c>
      <c r="O65" s="50">
        <v>0</v>
      </c>
    </row>
    <row r="66" spans="1:15" x14ac:dyDescent="0.35">
      <c r="B66" t="s">
        <v>375</v>
      </c>
      <c r="C66" s="50">
        <v>32</v>
      </c>
      <c r="D66" s="50">
        <v>32</v>
      </c>
      <c r="E66" s="50">
        <v>0</v>
      </c>
      <c r="F66" s="61"/>
      <c r="G66" s="61"/>
      <c r="H66" s="61"/>
      <c r="L66" t="s">
        <v>501</v>
      </c>
      <c r="M66" s="50">
        <v>1</v>
      </c>
      <c r="N66" s="50">
        <v>1</v>
      </c>
      <c r="O66" s="50">
        <v>0</v>
      </c>
    </row>
    <row r="67" spans="1:15" x14ac:dyDescent="0.35">
      <c r="B67" t="s">
        <v>405</v>
      </c>
      <c r="C67" s="50">
        <v>12</v>
      </c>
      <c r="D67" s="50">
        <v>12</v>
      </c>
      <c r="E67" s="50">
        <v>0</v>
      </c>
      <c r="F67" s="61"/>
      <c r="G67" s="61"/>
      <c r="H67" s="61"/>
      <c r="L67" t="s">
        <v>518</v>
      </c>
      <c r="M67" s="50">
        <v>10</v>
      </c>
      <c r="N67" s="50">
        <v>10</v>
      </c>
      <c r="O67" s="50">
        <v>0</v>
      </c>
    </row>
    <row r="68" spans="1:15" x14ac:dyDescent="0.35">
      <c r="A68" s="51" t="s">
        <v>183</v>
      </c>
      <c r="B68" s="51"/>
      <c r="C68" s="52">
        <v>155</v>
      </c>
      <c r="D68" s="52">
        <v>155</v>
      </c>
      <c r="E68" s="52">
        <v>0</v>
      </c>
      <c r="F68" s="61"/>
      <c r="G68" s="61"/>
      <c r="H68" s="61"/>
      <c r="L68" t="s">
        <v>575</v>
      </c>
      <c r="M68" s="50">
        <v>5</v>
      </c>
      <c r="N68" s="50">
        <v>5</v>
      </c>
      <c r="O68" s="50">
        <v>0</v>
      </c>
    </row>
    <row r="69" spans="1:15" x14ac:dyDescent="0.35">
      <c r="A69">
        <v>10</v>
      </c>
      <c r="B69" t="s">
        <v>134</v>
      </c>
      <c r="C69" s="50">
        <v>1</v>
      </c>
      <c r="D69" s="50">
        <v>1</v>
      </c>
      <c r="E69" s="50">
        <v>0</v>
      </c>
      <c r="F69" s="61"/>
      <c r="G69" s="61"/>
      <c r="H69" s="61"/>
      <c r="L69" t="s">
        <v>573</v>
      </c>
      <c r="M69" s="50">
        <v>2</v>
      </c>
      <c r="N69" s="50">
        <v>2</v>
      </c>
      <c r="O69" s="50">
        <v>0</v>
      </c>
    </row>
    <row r="70" spans="1:15" x14ac:dyDescent="0.35">
      <c r="B70" t="s">
        <v>19</v>
      </c>
      <c r="C70" s="50">
        <v>32</v>
      </c>
      <c r="D70" s="50">
        <v>32</v>
      </c>
      <c r="E70" s="50">
        <v>0</v>
      </c>
      <c r="F70" s="61"/>
      <c r="G70" s="61"/>
      <c r="H70" s="61"/>
      <c r="L70" t="s">
        <v>568</v>
      </c>
      <c r="M70" s="50">
        <v>1</v>
      </c>
      <c r="N70" s="50">
        <v>1</v>
      </c>
      <c r="O70" s="50">
        <v>0</v>
      </c>
    </row>
    <row r="71" spans="1:15" x14ac:dyDescent="0.35">
      <c r="B71" t="s">
        <v>180</v>
      </c>
      <c r="C71" s="50">
        <v>15</v>
      </c>
      <c r="D71" s="50">
        <v>15</v>
      </c>
      <c r="E71" s="50">
        <v>0</v>
      </c>
      <c r="F71" s="61"/>
      <c r="G71" s="61"/>
      <c r="H71" s="61"/>
      <c r="L71" t="s">
        <v>583</v>
      </c>
      <c r="M71" s="50">
        <v>26</v>
      </c>
      <c r="N71" s="50">
        <v>26</v>
      </c>
      <c r="O71" s="50">
        <v>0</v>
      </c>
    </row>
    <row r="72" spans="1:15" x14ac:dyDescent="0.35">
      <c r="B72" t="s">
        <v>176</v>
      </c>
      <c r="C72" s="50">
        <v>20</v>
      </c>
      <c r="D72" s="50">
        <v>20</v>
      </c>
      <c r="E72" s="50">
        <v>0</v>
      </c>
      <c r="L72" t="s">
        <v>591</v>
      </c>
      <c r="M72" s="50">
        <v>12</v>
      </c>
      <c r="N72" s="50">
        <v>12</v>
      </c>
      <c r="O72" s="50">
        <v>0</v>
      </c>
    </row>
    <row r="73" spans="1:15" x14ac:dyDescent="0.35">
      <c r="B73" t="s">
        <v>177</v>
      </c>
      <c r="C73" s="50">
        <v>20</v>
      </c>
      <c r="D73" s="50">
        <v>20</v>
      </c>
      <c r="E73" s="50">
        <v>0</v>
      </c>
      <c r="L73" t="s">
        <v>592</v>
      </c>
      <c r="M73" s="50">
        <v>2</v>
      </c>
      <c r="N73" s="50">
        <v>2</v>
      </c>
      <c r="O73" s="50">
        <v>0</v>
      </c>
    </row>
    <row r="74" spans="1:15" x14ac:dyDescent="0.35">
      <c r="B74" t="s">
        <v>16</v>
      </c>
      <c r="C74" s="50">
        <v>20</v>
      </c>
      <c r="D74" s="50">
        <v>20</v>
      </c>
      <c r="E74" s="50">
        <v>0</v>
      </c>
      <c r="L74" t="s">
        <v>593</v>
      </c>
      <c r="M74" s="50">
        <v>4</v>
      </c>
      <c r="N74" s="50">
        <v>4</v>
      </c>
      <c r="O74" s="50">
        <v>0</v>
      </c>
    </row>
    <row r="75" spans="1:15" x14ac:dyDescent="0.35">
      <c r="B75" t="s">
        <v>55</v>
      </c>
      <c r="C75" s="50">
        <v>2</v>
      </c>
      <c r="D75" s="50">
        <v>2</v>
      </c>
      <c r="E75" s="50">
        <v>0</v>
      </c>
      <c r="L75" t="s">
        <v>579</v>
      </c>
      <c r="M75" s="50">
        <v>20</v>
      </c>
      <c r="N75" s="50">
        <v>20</v>
      </c>
      <c r="O75" s="50">
        <v>0</v>
      </c>
    </row>
    <row r="76" spans="1:15" x14ac:dyDescent="0.35">
      <c r="B76" t="s">
        <v>17</v>
      </c>
      <c r="C76" s="50">
        <v>4</v>
      </c>
      <c r="D76" s="50">
        <v>4</v>
      </c>
      <c r="E76" s="50">
        <v>0</v>
      </c>
      <c r="L76" t="s">
        <v>614</v>
      </c>
      <c r="M76" s="50">
        <v>40</v>
      </c>
      <c r="N76" s="50">
        <v>40</v>
      </c>
      <c r="O76" s="50">
        <v>0</v>
      </c>
    </row>
    <row r="77" spans="1:15" x14ac:dyDescent="0.35">
      <c r="B77" t="s">
        <v>31</v>
      </c>
      <c r="C77" s="50">
        <v>5</v>
      </c>
      <c r="D77" s="50">
        <v>5</v>
      </c>
      <c r="E77" s="50">
        <v>0</v>
      </c>
      <c r="L77" t="s">
        <v>613</v>
      </c>
      <c r="M77" s="50">
        <v>20</v>
      </c>
      <c r="N77" s="50">
        <v>20</v>
      </c>
      <c r="O77" s="50">
        <v>0</v>
      </c>
    </row>
    <row r="78" spans="1:15" x14ac:dyDescent="0.35">
      <c r="B78" t="s">
        <v>29</v>
      </c>
      <c r="C78" s="50">
        <v>20</v>
      </c>
      <c r="D78" s="50">
        <v>20</v>
      </c>
      <c r="E78" s="50">
        <v>0</v>
      </c>
      <c r="L78" t="s">
        <v>624</v>
      </c>
      <c r="M78" s="50">
        <v>44</v>
      </c>
      <c r="N78" s="50">
        <v>44</v>
      </c>
      <c r="O78" s="50">
        <v>0</v>
      </c>
    </row>
    <row r="79" spans="1:15" x14ac:dyDescent="0.35">
      <c r="B79" t="s">
        <v>153</v>
      </c>
      <c r="C79" s="50">
        <v>1</v>
      </c>
      <c r="D79" s="50">
        <v>1</v>
      </c>
      <c r="E79" s="50">
        <v>0</v>
      </c>
      <c r="L79" t="s">
        <v>625</v>
      </c>
      <c r="M79" s="50">
        <v>23</v>
      </c>
      <c r="N79" s="50">
        <v>21</v>
      </c>
      <c r="O79" s="50">
        <v>2</v>
      </c>
    </row>
    <row r="80" spans="1:15" x14ac:dyDescent="0.35">
      <c r="B80" t="s">
        <v>139</v>
      </c>
      <c r="C80" s="50">
        <v>1</v>
      </c>
      <c r="D80" s="50">
        <v>1</v>
      </c>
      <c r="E80" s="50">
        <v>0</v>
      </c>
      <c r="L80" t="s">
        <v>658</v>
      </c>
      <c r="M80" s="50">
        <v>2</v>
      </c>
      <c r="N80" s="50">
        <v>2</v>
      </c>
      <c r="O80" s="50">
        <v>0</v>
      </c>
    </row>
    <row r="81" spans="2:15" x14ac:dyDescent="0.35">
      <c r="B81" t="s">
        <v>64</v>
      </c>
      <c r="C81" s="50">
        <v>10</v>
      </c>
      <c r="D81" s="50">
        <v>10</v>
      </c>
      <c r="E81" s="50">
        <v>0</v>
      </c>
      <c r="L81" t="s">
        <v>645</v>
      </c>
      <c r="M81" s="50">
        <v>20</v>
      </c>
      <c r="N81" s="50">
        <v>18</v>
      </c>
      <c r="O81" s="50">
        <v>2</v>
      </c>
    </row>
    <row r="82" spans="2:15" x14ac:dyDescent="0.35">
      <c r="B82" t="s">
        <v>28</v>
      </c>
      <c r="C82" s="50">
        <v>2</v>
      </c>
      <c r="D82" s="50">
        <v>2</v>
      </c>
      <c r="E82" s="50">
        <v>0</v>
      </c>
      <c r="L82" t="s">
        <v>634</v>
      </c>
      <c r="M82" s="50">
        <v>20</v>
      </c>
      <c r="N82" s="50">
        <v>20</v>
      </c>
      <c r="O82" s="50">
        <v>0</v>
      </c>
    </row>
    <row r="83" spans="2:15" x14ac:dyDescent="0.35">
      <c r="B83" t="s">
        <v>245</v>
      </c>
      <c r="C83" s="50">
        <v>4</v>
      </c>
      <c r="D83" s="50">
        <v>4</v>
      </c>
      <c r="E83" s="50">
        <v>0</v>
      </c>
      <c r="L83" t="s">
        <v>655</v>
      </c>
      <c r="M83" s="50">
        <v>2</v>
      </c>
      <c r="N83" s="50">
        <v>2</v>
      </c>
      <c r="O83" s="50">
        <v>0</v>
      </c>
    </row>
    <row r="84" spans="2:15" x14ac:dyDescent="0.35">
      <c r="B84" t="s">
        <v>359</v>
      </c>
      <c r="C84" s="50">
        <v>10</v>
      </c>
      <c r="D84" s="50">
        <v>10</v>
      </c>
      <c r="E84" s="50">
        <v>0</v>
      </c>
      <c r="L84" t="s">
        <v>657</v>
      </c>
      <c r="M84" s="50">
        <v>10</v>
      </c>
      <c r="N84" s="50">
        <v>10</v>
      </c>
      <c r="O84" s="50">
        <v>0</v>
      </c>
    </row>
    <row r="85" spans="2:15" x14ac:dyDescent="0.35">
      <c r="B85" t="s">
        <v>375</v>
      </c>
      <c r="C85" s="50">
        <v>37</v>
      </c>
      <c r="D85" s="50">
        <v>37</v>
      </c>
      <c r="E85" s="50">
        <v>0</v>
      </c>
      <c r="L85" t="s">
        <v>677</v>
      </c>
      <c r="M85" s="50">
        <v>2</v>
      </c>
      <c r="N85" s="50">
        <v>2</v>
      </c>
      <c r="O85" s="50">
        <v>0</v>
      </c>
    </row>
    <row r="86" spans="2:15" x14ac:dyDescent="0.35">
      <c r="B86" t="s">
        <v>405</v>
      </c>
      <c r="C86" s="50">
        <v>20</v>
      </c>
      <c r="D86" s="50">
        <v>20</v>
      </c>
      <c r="E86" s="50">
        <v>0</v>
      </c>
      <c r="L86" t="s">
        <v>687</v>
      </c>
      <c r="M86" s="50">
        <v>12</v>
      </c>
      <c r="N86" s="50">
        <v>3</v>
      </c>
      <c r="O86" s="50">
        <v>9</v>
      </c>
    </row>
    <row r="87" spans="2:15" x14ac:dyDescent="0.35">
      <c r="B87" t="s">
        <v>426</v>
      </c>
      <c r="C87" s="50">
        <v>1</v>
      </c>
      <c r="D87" s="50">
        <v>1</v>
      </c>
      <c r="E87" s="50">
        <v>0</v>
      </c>
      <c r="L87" t="s">
        <v>691</v>
      </c>
      <c r="M87" s="50">
        <v>3</v>
      </c>
      <c r="N87" s="50">
        <v>3</v>
      </c>
      <c r="O87" s="50">
        <v>0</v>
      </c>
    </row>
    <row r="88" spans="2:15" x14ac:dyDescent="0.35">
      <c r="B88" t="s">
        <v>436</v>
      </c>
      <c r="C88" s="50">
        <v>4</v>
      </c>
      <c r="D88" s="50">
        <v>4</v>
      </c>
      <c r="E88" s="50">
        <v>0</v>
      </c>
      <c r="L88" t="s">
        <v>723</v>
      </c>
      <c r="M88" s="50">
        <v>1</v>
      </c>
      <c r="N88" s="50">
        <v>1</v>
      </c>
      <c r="O88" s="50">
        <v>0</v>
      </c>
    </row>
    <row r="89" spans="2:15" x14ac:dyDescent="0.35">
      <c r="B89" t="s">
        <v>435</v>
      </c>
      <c r="C89" s="50">
        <v>26</v>
      </c>
      <c r="D89" s="50">
        <v>26</v>
      </c>
      <c r="E89" s="50">
        <v>0</v>
      </c>
      <c r="L89" t="s">
        <v>724</v>
      </c>
      <c r="M89" s="50">
        <v>2</v>
      </c>
      <c r="N89" s="50">
        <v>2</v>
      </c>
      <c r="O89" s="50">
        <v>0</v>
      </c>
    </row>
    <row r="90" spans="2:15" x14ac:dyDescent="0.35">
      <c r="B90" t="s">
        <v>431</v>
      </c>
      <c r="C90" s="50">
        <v>9</v>
      </c>
      <c r="D90" s="50">
        <v>9</v>
      </c>
      <c r="E90" s="50">
        <v>0</v>
      </c>
      <c r="L90" t="s">
        <v>722</v>
      </c>
      <c r="M90" s="50">
        <v>4</v>
      </c>
      <c r="N90" s="50">
        <v>4</v>
      </c>
      <c r="O90" s="50">
        <v>0</v>
      </c>
    </row>
    <row r="91" spans="2:15" x14ac:dyDescent="0.35">
      <c r="B91" t="s">
        <v>430</v>
      </c>
      <c r="C91" s="50">
        <v>10</v>
      </c>
      <c r="D91" s="50">
        <v>10</v>
      </c>
      <c r="E91" s="50">
        <v>0</v>
      </c>
      <c r="L91" t="s">
        <v>733</v>
      </c>
      <c r="M91" s="50">
        <v>127</v>
      </c>
      <c r="N91" s="50">
        <v>123</v>
      </c>
      <c r="O91" s="50">
        <v>4</v>
      </c>
    </row>
    <row r="92" spans="2:15" x14ac:dyDescent="0.35">
      <c r="B92" t="s">
        <v>432</v>
      </c>
      <c r="C92" s="50">
        <v>12</v>
      </c>
      <c r="D92" s="50">
        <v>12</v>
      </c>
      <c r="E92" s="50">
        <v>0</v>
      </c>
      <c r="L92" t="s">
        <v>732</v>
      </c>
      <c r="M92" s="50">
        <v>10</v>
      </c>
      <c r="N92" s="50">
        <v>10</v>
      </c>
      <c r="O92" s="50">
        <v>0</v>
      </c>
    </row>
    <row r="93" spans="2:15" x14ac:dyDescent="0.35">
      <c r="B93" t="s">
        <v>447</v>
      </c>
      <c r="C93" s="50">
        <v>3</v>
      </c>
      <c r="D93" s="50">
        <v>3</v>
      </c>
      <c r="E93" s="50">
        <v>0</v>
      </c>
      <c r="L93" t="s">
        <v>748</v>
      </c>
      <c r="M93" s="50">
        <v>38</v>
      </c>
      <c r="N93" s="50">
        <v>38</v>
      </c>
      <c r="O93" s="50">
        <v>0</v>
      </c>
    </row>
    <row r="94" spans="2:15" x14ac:dyDescent="0.35">
      <c r="B94" t="s">
        <v>458</v>
      </c>
      <c r="C94" s="50">
        <v>9</v>
      </c>
      <c r="D94" s="50">
        <v>9</v>
      </c>
      <c r="E94" s="50">
        <v>0</v>
      </c>
      <c r="L94" t="s">
        <v>749</v>
      </c>
      <c r="M94" s="50">
        <v>1</v>
      </c>
      <c r="N94" s="50">
        <v>1</v>
      </c>
      <c r="O94" s="50">
        <v>0</v>
      </c>
    </row>
    <row r="95" spans="2:15" x14ac:dyDescent="0.35">
      <c r="B95" t="s">
        <v>462</v>
      </c>
      <c r="C95" s="50">
        <v>12</v>
      </c>
      <c r="D95" s="50">
        <v>12</v>
      </c>
      <c r="E95" s="50">
        <v>0</v>
      </c>
      <c r="L95" t="s">
        <v>752</v>
      </c>
      <c r="M95" s="50">
        <v>1</v>
      </c>
      <c r="N95" s="50">
        <v>1</v>
      </c>
      <c r="O95" s="50">
        <v>0</v>
      </c>
    </row>
    <row r="96" spans="2:15" x14ac:dyDescent="0.35">
      <c r="B96" t="s">
        <v>491</v>
      </c>
      <c r="C96" s="50">
        <v>10</v>
      </c>
      <c r="D96" s="50">
        <v>10</v>
      </c>
      <c r="E96" s="50">
        <v>0</v>
      </c>
      <c r="L96" t="s">
        <v>767</v>
      </c>
      <c r="M96" s="50">
        <v>44</v>
      </c>
      <c r="N96" s="50">
        <v>29</v>
      </c>
      <c r="O96" s="50">
        <v>15</v>
      </c>
    </row>
    <row r="97" spans="1:15" x14ac:dyDescent="0.35">
      <c r="B97" t="s">
        <v>489</v>
      </c>
      <c r="C97" s="50">
        <v>5</v>
      </c>
      <c r="D97" s="50">
        <v>5</v>
      </c>
      <c r="E97" s="50">
        <v>0</v>
      </c>
      <c r="L97" t="s">
        <v>769</v>
      </c>
      <c r="M97" s="50">
        <v>10</v>
      </c>
      <c r="N97" s="50">
        <v>8</v>
      </c>
      <c r="O97" s="50">
        <v>2</v>
      </c>
    </row>
    <row r="98" spans="1:15" x14ac:dyDescent="0.35">
      <c r="B98" t="s">
        <v>645</v>
      </c>
      <c r="C98" s="50">
        <v>4</v>
      </c>
      <c r="D98" s="50">
        <v>4</v>
      </c>
      <c r="E98" s="50">
        <v>0</v>
      </c>
      <c r="L98" t="s">
        <v>768</v>
      </c>
      <c r="M98" s="50">
        <v>1</v>
      </c>
      <c r="N98" s="50">
        <v>1</v>
      </c>
      <c r="O98" s="50">
        <v>0</v>
      </c>
    </row>
    <row r="99" spans="1:15" x14ac:dyDescent="0.35">
      <c r="A99" s="51" t="s">
        <v>184</v>
      </c>
      <c r="B99" s="51"/>
      <c r="C99" s="52">
        <v>329</v>
      </c>
      <c r="D99" s="52">
        <v>329</v>
      </c>
      <c r="E99" s="52">
        <v>0</v>
      </c>
      <c r="L99" t="s">
        <v>795</v>
      </c>
      <c r="M99" s="50">
        <v>2</v>
      </c>
      <c r="N99" s="50">
        <v>2</v>
      </c>
      <c r="O99" s="50">
        <v>0</v>
      </c>
    </row>
    <row r="100" spans="1:15" x14ac:dyDescent="0.35">
      <c r="A100">
        <v>11</v>
      </c>
      <c r="B100" t="s">
        <v>63</v>
      </c>
      <c r="C100" s="50">
        <v>1</v>
      </c>
      <c r="D100" s="50">
        <v>1</v>
      </c>
      <c r="E100" s="50">
        <v>0</v>
      </c>
      <c r="L100" t="s">
        <v>799</v>
      </c>
      <c r="M100" s="50">
        <v>21</v>
      </c>
      <c r="N100" s="50">
        <v>9</v>
      </c>
      <c r="O100" s="50">
        <v>12</v>
      </c>
    </row>
    <row r="101" spans="1:15" x14ac:dyDescent="0.35">
      <c r="B101" t="s">
        <v>19</v>
      </c>
      <c r="C101" s="50">
        <v>24</v>
      </c>
      <c r="D101" s="50">
        <v>24</v>
      </c>
      <c r="E101" s="50">
        <v>0</v>
      </c>
      <c r="L101" t="s">
        <v>822</v>
      </c>
      <c r="M101" s="50">
        <v>28</v>
      </c>
      <c r="N101" s="50">
        <v>21</v>
      </c>
      <c r="O101" s="50">
        <v>7</v>
      </c>
    </row>
    <row r="102" spans="1:15" x14ac:dyDescent="0.35">
      <c r="B102" t="s">
        <v>16</v>
      </c>
      <c r="C102" s="50">
        <v>5</v>
      </c>
      <c r="D102" s="50">
        <v>5</v>
      </c>
      <c r="E102" s="50">
        <v>0</v>
      </c>
      <c r="L102" t="s">
        <v>823</v>
      </c>
      <c r="M102" s="50">
        <v>15</v>
      </c>
      <c r="N102" s="50">
        <v>2</v>
      </c>
      <c r="O102" s="50">
        <v>13</v>
      </c>
    </row>
    <row r="103" spans="1:15" x14ac:dyDescent="0.35">
      <c r="B103" t="s">
        <v>29</v>
      </c>
      <c r="C103" s="50">
        <v>20</v>
      </c>
      <c r="D103" s="50">
        <v>20</v>
      </c>
      <c r="E103" s="50">
        <v>0</v>
      </c>
      <c r="L103" t="s">
        <v>825</v>
      </c>
      <c r="M103" s="50">
        <v>3</v>
      </c>
      <c r="N103" s="50"/>
      <c r="O103" s="50">
        <v>3</v>
      </c>
    </row>
    <row r="104" spans="1:15" x14ac:dyDescent="0.35">
      <c r="B104" t="s">
        <v>28</v>
      </c>
      <c r="C104" s="50">
        <v>85</v>
      </c>
      <c r="D104" s="50">
        <v>85</v>
      </c>
      <c r="E104" s="50">
        <v>0</v>
      </c>
      <c r="L104" t="s">
        <v>824</v>
      </c>
      <c r="M104" s="50">
        <v>40</v>
      </c>
      <c r="N104" s="50">
        <v>17</v>
      </c>
      <c r="O104" s="50">
        <v>23</v>
      </c>
    </row>
    <row r="105" spans="1:15" x14ac:dyDescent="0.35">
      <c r="B105" t="s">
        <v>37</v>
      </c>
      <c r="C105" s="50">
        <v>10</v>
      </c>
      <c r="D105" s="50">
        <v>10</v>
      </c>
      <c r="E105" s="50">
        <v>0</v>
      </c>
      <c r="L105" t="s">
        <v>826</v>
      </c>
      <c r="M105" s="50">
        <v>10</v>
      </c>
      <c r="N105" s="50">
        <v>5</v>
      </c>
      <c r="O105" s="50">
        <v>5</v>
      </c>
    </row>
    <row r="106" spans="1:15" x14ac:dyDescent="0.35">
      <c r="B106" t="s">
        <v>194</v>
      </c>
      <c r="C106" s="50">
        <v>20</v>
      </c>
      <c r="D106" s="50">
        <v>20</v>
      </c>
      <c r="E106" s="50">
        <v>0</v>
      </c>
      <c r="L106" t="s">
        <v>828</v>
      </c>
      <c r="M106" s="50">
        <v>1</v>
      </c>
      <c r="N106" s="50">
        <v>1</v>
      </c>
      <c r="O106" s="50">
        <v>0</v>
      </c>
    </row>
    <row r="107" spans="1:15" x14ac:dyDescent="0.35">
      <c r="B107" t="s">
        <v>196</v>
      </c>
      <c r="C107" s="50">
        <v>3</v>
      </c>
      <c r="D107" s="50">
        <v>3</v>
      </c>
      <c r="E107" s="50">
        <v>0</v>
      </c>
      <c r="L107" t="s">
        <v>181</v>
      </c>
      <c r="M107" s="50">
        <v>2544</v>
      </c>
      <c r="N107" s="50">
        <v>2365</v>
      </c>
      <c r="O107" s="50">
        <v>179</v>
      </c>
    </row>
    <row r="108" spans="1:15" x14ac:dyDescent="0.35">
      <c r="B108" t="s">
        <v>233</v>
      </c>
      <c r="C108" s="50">
        <v>5</v>
      </c>
      <c r="D108" s="50">
        <v>5</v>
      </c>
      <c r="E108" s="50">
        <v>0</v>
      </c>
    </row>
    <row r="109" spans="1:15" x14ac:dyDescent="0.35">
      <c r="B109" t="s">
        <v>375</v>
      </c>
      <c r="C109" s="50">
        <v>33</v>
      </c>
      <c r="D109" s="50">
        <v>33</v>
      </c>
      <c r="E109" s="50">
        <v>0</v>
      </c>
    </row>
    <row r="110" spans="1:15" x14ac:dyDescent="0.35">
      <c r="B110" t="s">
        <v>405</v>
      </c>
      <c r="C110" s="50">
        <v>8</v>
      </c>
      <c r="D110" s="50">
        <v>8</v>
      </c>
      <c r="E110" s="50">
        <v>0</v>
      </c>
    </row>
    <row r="111" spans="1:15" x14ac:dyDescent="0.35">
      <c r="B111" t="s">
        <v>435</v>
      </c>
      <c r="C111" s="50">
        <v>22</v>
      </c>
      <c r="D111" s="50">
        <v>22</v>
      </c>
      <c r="E111" s="50">
        <v>0</v>
      </c>
    </row>
    <row r="112" spans="1:15" x14ac:dyDescent="0.35">
      <c r="B112" t="s">
        <v>431</v>
      </c>
      <c r="C112" s="50">
        <v>4</v>
      </c>
      <c r="D112" s="50">
        <v>4</v>
      </c>
      <c r="E112" s="50">
        <v>0</v>
      </c>
    </row>
    <row r="113" spans="1:5" x14ac:dyDescent="0.35">
      <c r="B113" t="s">
        <v>491</v>
      </c>
      <c r="C113" s="50">
        <v>4</v>
      </c>
      <c r="D113" s="50">
        <v>4</v>
      </c>
      <c r="E113" s="50">
        <v>0</v>
      </c>
    </row>
    <row r="114" spans="1:5" x14ac:dyDescent="0.35">
      <c r="B114" t="s">
        <v>489</v>
      </c>
      <c r="C114" s="50">
        <v>10</v>
      </c>
      <c r="D114" s="50">
        <v>10</v>
      </c>
      <c r="E114" s="50">
        <v>0</v>
      </c>
    </row>
    <row r="115" spans="1:5" x14ac:dyDescent="0.35">
      <c r="B115" t="s">
        <v>501</v>
      </c>
      <c r="C115" s="50">
        <v>1</v>
      </c>
      <c r="D115" s="50">
        <v>1</v>
      </c>
      <c r="E115" s="50">
        <v>0</v>
      </c>
    </row>
    <row r="116" spans="1:5" x14ac:dyDescent="0.35">
      <c r="B116" t="s">
        <v>518</v>
      </c>
      <c r="C116" s="50">
        <v>10</v>
      </c>
      <c r="D116" s="50">
        <v>10</v>
      </c>
      <c r="E116" s="50">
        <v>0</v>
      </c>
    </row>
    <row r="117" spans="1:5" x14ac:dyDescent="0.35">
      <c r="A117" s="51" t="s">
        <v>188</v>
      </c>
      <c r="B117" s="51"/>
      <c r="C117" s="52">
        <v>265</v>
      </c>
      <c r="D117" s="52">
        <v>265</v>
      </c>
      <c r="E117" s="52">
        <v>0</v>
      </c>
    </row>
    <row r="118" spans="1:5" x14ac:dyDescent="0.35">
      <c r="A118">
        <v>12</v>
      </c>
      <c r="B118" t="s">
        <v>19</v>
      </c>
      <c r="C118" s="50">
        <v>12</v>
      </c>
      <c r="D118" s="50">
        <v>12</v>
      </c>
      <c r="E118" s="50">
        <v>0</v>
      </c>
    </row>
    <row r="119" spans="1:5" x14ac:dyDescent="0.35">
      <c r="B119" t="s">
        <v>179</v>
      </c>
      <c r="C119" s="50">
        <v>4</v>
      </c>
      <c r="D119" s="50">
        <v>4</v>
      </c>
      <c r="E119" s="50">
        <v>0</v>
      </c>
    </row>
    <row r="120" spans="1:5" x14ac:dyDescent="0.35">
      <c r="B120" t="s">
        <v>176</v>
      </c>
      <c r="C120" s="50">
        <v>16</v>
      </c>
      <c r="D120" s="50">
        <v>16</v>
      </c>
      <c r="E120" s="50">
        <v>0</v>
      </c>
    </row>
    <row r="121" spans="1:5" x14ac:dyDescent="0.35">
      <c r="B121" t="s">
        <v>16</v>
      </c>
      <c r="C121" s="50">
        <v>10</v>
      </c>
      <c r="D121" s="50">
        <v>10</v>
      </c>
      <c r="E121" s="50">
        <v>0</v>
      </c>
    </row>
    <row r="122" spans="1:5" x14ac:dyDescent="0.35">
      <c r="B122" t="s">
        <v>17</v>
      </c>
      <c r="C122" s="50">
        <v>2</v>
      </c>
      <c r="D122" s="50">
        <v>2</v>
      </c>
      <c r="E122" s="50">
        <v>0</v>
      </c>
    </row>
    <row r="123" spans="1:5" x14ac:dyDescent="0.35">
      <c r="B123" t="s">
        <v>64</v>
      </c>
      <c r="C123" s="50">
        <v>20</v>
      </c>
      <c r="D123" s="50">
        <v>20</v>
      </c>
      <c r="E123" s="50">
        <v>0</v>
      </c>
    </row>
    <row r="124" spans="1:5" x14ac:dyDescent="0.35">
      <c r="B124" t="s">
        <v>15</v>
      </c>
      <c r="C124" s="50">
        <v>1</v>
      </c>
      <c r="D124" s="50">
        <v>1</v>
      </c>
      <c r="E124" s="50">
        <v>0</v>
      </c>
    </row>
    <row r="125" spans="1:5" x14ac:dyDescent="0.35">
      <c r="B125" t="s">
        <v>14</v>
      </c>
      <c r="C125" s="50">
        <v>5</v>
      </c>
      <c r="D125" s="50">
        <v>5</v>
      </c>
      <c r="E125" s="50">
        <v>0</v>
      </c>
    </row>
    <row r="126" spans="1:5" x14ac:dyDescent="0.35">
      <c r="B126" t="s">
        <v>28</v>
      </c>
      <c r="C126" s="50">
        <v>40</v>
      </c>
      <c r="D126" s="50">
        <v>40</v>
      </c>
      <c r="E126" s="50">
        <v>0</v>
      </c>
    </row>
    <row r="127" spans="1:5" x14ac:dyDescent="0.35">
      <c r="B127" t="s">
        <v>236</v>
      </c>
      <c r="C127" s="50">
        <v>4</v>
      </c>
      <c r="D127" s="50">
        <v>4</v>
      </c>
      <c r="E127" s="50">
        <v>0</v>
      </c>
    </row>
    <row r="128" spans="1:5" x14ac:dyDescent="0.35">
      <c r="B128" t="s">
        <v>229</v>
      </c>
      <c r="C128" s="50">
        <v>2</v>
      </c>
      <c r="D128" s="50">
        <v>2</v>
      </c>
      <c r="E128" s="50">
        <v>0</v>
      </c>
    </row>
    <row r="129" spans="2:5" x14ac:dyDescent="0.35">
      <c r="B129" t="s">
        <v>233</v>
      </c>
      <c r="C129" s="50">
        <v>3</v>
      </c>
      <c r="D129" s="50">
        <v>3</v>
      </c>
      <c r="E129" s="50">
        <v>0</v>
      </c>
    </row>
    <row r="130" spans="2:5" x14ac:dyDescent="0.35">
      <c r="B130" t="s">
        <v>265</v>
      </c>
      <c r="C130" s="50">
        <v>1</v>
      </c>
      <c r="D130" s="50">
        <v>1</v>
      </c>
      <c r="E130" s="50">
        <v>0</v>
      </c>
    </row>
    <row r="131" spans="2:5" x14ac:dyDescent="0.35">
      <c r="B131" t="s">
        <v>356</v>
      </c>
      <c r="C131" s="50">
        <v>5</v>
      </c>
      <c r="D131" s="50">
        <v>5</v>
      </c>
      <c r="E131" s="50">
        <v>0</v>
      </c>
    </row>
    <row r="132" spans="2:5" x14ac:dyDescent="0.35">
      <c r="B132" t="s">
        <v>357</v>
      </c>
      <c r="C132" s="50">
        <v>1</v>
      </c>
      <c r="D132" s="50">
        <v>1</v>
      </c>
      <c r="E132" s="50">
        <v>0</v>
      </c>
    </row>
    <row r="133" spans="2:5" x14ac:dyDescent="0.35">
      <c r="B133" t="s">
        <v>358</v>
      </c>
      <c r="C133" s="50">
        <v>4</v>
      </c>
      <c r="D133" s="50">
        <v>4</v>
      </c>
      <c r="E133" s="50">
        <v>0</v>
      </c>
    </row>
    <row r="134" spans="2:5" x14ac:dyDescent="0.35">
      <c r="B134" t="s">
        <v>365</v>
      </c>
      <c r="C134" s="50">
        <v>1</v>
      </c>
      <c r="D134" s="50">
        <v>1</v>
      </c>
      <c r="E134" s="50">
        <v>0</v>
      </c>
    </row>
    <row r="135" spans="2:5" x14ac:dyDescent="0.35">
      <c r="B135" t="s">
        <v>405</v>
      </c>
      <c r="C135" s="50">
        <v>20</v>
      </c>
      <c r="D135" s="50">
        <v>20</v>
      </c>
      <c r="E135" s="50">
        <v>0</v>
      </c>
    </row>
    <row r="136" spans="2:5" x14ac:dyDescent="0.35">
      <c r="B136" t="s">
        <v>435</v>
      </c>
      <c r="C136" s="50">
        <v>1</v>
      </c>
      <c r="D136" s="50">
        <v>1</v>
      </c>
      <c r="E136" s="50">
        <v>0</v>
      </c>
    </row>
    <row r="137" spans="2:5" x14ac:dyDescent="0.35">
      <c r="B137" t="s">
        <v>489</v>
      </c>
      <c r="C137" s="50">
        <v>10</v>
      </c>
      <c r="D137" s="50">
        <v>10</v>
      </c>
      <c r="E137" s="50">
        <v>0</v>
      </c>
    </row>
    <row r="138" spans="2:5" x14ac:dyDescent="0.35">
      <c r="B138" t="s">
        <v>575</v>
      </c>
      <c r="C138" s="50">
        <v>5</v>
      </c>
      <c r="D138" s="50">
        <v>5</v>
      </c>
      <c r="E138" s="50">
        <v>0</v>
      </c>
    </row>
    <row r="139" spans="2:5" x14ac:dyDescent="0.35">
      <c r="B139" t="s">
        <v>573</v>
      </c>
      <c r="C139" s="50">
        <v>2</v>
      </c>
      <c r="D139" s="50">
        <v>2</v>
      </c>
      <c r="E139" s="50">
        <v>0</v>
      </c>
    </row>
    <row r="140" spans="2:5" x14ac:dyDescent="0.35">
      <c r="B140" t="s">
        <v>568</v>
      </c>
      <c r="C140" s="50">
        <v>1</v>
      </c>
      <c r="D140" s="50">
        <v>1</v>
      </c>
      <c r="E140" s="50">
        <v>0</v>
      </c>
    </row>
    <row r="141" spans="2:5" x14ac:dyDescent="0.35">
      <c r="B141" t="s">
        <v>583</v>
      </c>
      <c r="C141" s="50">
        <v>10</v>
      </c>
      <c r="D141" s="50">
        <v>10</v>
      </c>
      <c r="E141" s="50">
        <v>0</v>
      </c>
    </row>
    <row r="142" spans="2:5" x14ac:dyDescent="0.35">
      <c r="B142" t="s">
        <v>591</v>
      </c>
      <c r="C142" s="50">
        <v>12</v>
      </c>
      <c r="D142" s="50">
        <v>12</v>
      </c>
      <c r="E142" s="50">
        <v>0</v>
      </c>
    </row>
    <row r="143" spans="2:5" x14ac:dyDescent="0.35">
      <c r="B143" t="s">
        <v>592</v>
      </c>
      <c r="C143" s="50">
        <v>2</v>
      </c>
      <c r="D143" s="50">
        <v>2</v>
      </c>
      <c r="E143" s="50">
        <v>0</v>
      </c>
    </row>
    <row r="144" spans="2:5" x14ac:dyDescent="0.35">
      <c r="B144" t="s">
        <v>593</v>
      </c>
      <c r="C144" s="50">
        <v>4</v>
      </c>
      <c r="D144" s="50">
        <v>4</v>
      </c>
      <c r="E144" s="50">
        <v>0</v>
      </c>
    </row>
    <row r="145" spans="1:5" x14ac:dyDescent="0.35">
      <c r="B145" t="s">
        <v>579</v>
      </c>
      <c r="C145" s="50">
        <v>20</v>
      </c>
      <c r="D145" s="50">
        <v>20</v>
      </c>
      <c r="E145" s="50">
        <v>0</v>
      </c>
    </row>
    <row r="146" spans="1:5" x14ac:dyDescent="0.35">
      <c r="B146" t="s">
        <v>614</v>
      </c>
      <c r="C146" s="50">
        <v>40</v>
      </c>
      <c r="D146" s="50">
        <v>40</v>
      </c>
      <c r="E146" s="50">
        <v>0</v>
      </c>
    </row>
    <row r="147" spans="1:5" x14ac:dyDescent="0.35">
      <c r="B147" t="s">
        <v>613</v>
      </c>
      <c r="C147" s="50">
        <v>20</v>
      </c>
      <c r="D147" s="50">
        <v>20</v>
      </c>
      <c r="E147" s="50">
        <v>0</v>
      </c>
    </row>
    <row r="148" spans="1:5" x14ac:dyDescent="0.35">
      <c r="A148" s="51" t="s">
        <v>208</v>
      </c>
      <c r="B148" s="51"/>
      <c r="C148" s="52">
        <v>278</v>
      </c>
      <c r="D148" s="52">
        <v>278</v>
      </c>
      <c r="E148" s="52">
        <v>0</v>
      </c>
    </row>
    <row r="149" spans="1:5" x14ac:dyDescent="0.35">
      <c r="A149">
        <v>1</v>
      </c>
      <c r="B149" t="s">
        <v>29</v>
      </c>
      <c r="C149" s="50">
        <v>20</v>
      </c>
      <c r="D149" s="50">
        <v>20</v>
      </c>
      <c r="E149" s="50">
        <v>0</v>
      </c>
    </row>
    <row r="150" spans="1:5" x14ac:dyDescent="0.35">
      <c r="B150" t="s">
        <v>28</v>
      </c>
      <c r="C150" s="50">
        <v>40</v>
      </c>
      <c r="D150" s="50">
        <v>40</v>
      </c>
      <c r="E150" s="50">
        <v>0</v>
      </c>
    </row>
    <row r="151" spans="1:5" x14ac:dyDescent="0.35">
      <c r="B151" t="s">
        <v>194</v>
      </c>
      <c r="C151" s="50">
        <v>32</v>
      </c>
      <c r="D151" s="50">
        <v>32</v>
      </c>
      <c r="E151" s="50">
        <v>0</v>
      </c>
    </row>
    <row r="152" spans="1:5" x14ac:dyDescent="0.35">
      <c r="B152" t="s">
        <v>213</v>
      </c>
      <c r="C152" s="50">
        <v>2</v>
      </c>
      <c r="D152" s="50">
        <v>2</v>
      </c>
      <c r="E152" s="50">
        <v>0</v>
      </c>
    </row>
    <row r="153" spans="1:5" x14ac:dyDescent="0.35">
      <c r="B153" t="s">
        <v>214</v>
      </c>
      <c r="C153" s="50">
        <v>2</v>
      </c>
      <c r="D153" s="50">
        <v>2</v>
      </c>
      <c r="E153" s="50">
        <v>0</v>
      </c>
    </row>
    <row r="154" spans="1:5" x14ac:dyDescent="0.35">
      <c r="B154" t="s">
        <v>229</v>
      </c>
      <c r="C154" s="50">
        <v>2</v>
      </c>
      <c r="D154" s="50">
        <v>2</v>
      </c>
      <c r="E154" s="50">
        <v>0</v>
      </c>
    </row>
    <row r="155" spans="1:5" x14ac:dyDescent="0.35">
      <c r="B155" t="s">
        <v>234</v>
      </c>
      <c r="C155" s="50">
        <v>2</v>
      </c>
      <c r="D155" s="50">
        <v>2</v>
      </c>
      <c r="E155" s="50">
        <v>0</v>
      </c>
    </row>
    <row r="156" spans="1:5" x14ac:dyDescent="0.35">
      <c r="B156" t="s">
        <v>231</v>
      </c>
      <c r="C156" s="50">
        <v>1</v>
      </c>
      <c r="D156" s="50">
        <v>1</v>
      </c>
      <c r="E156" s="50">
        <v>0</v>
      </c>
    </row>
    <row r="157" spans="1:5" x14ac:dyDescent="0.35">
      <c r="B157" t="s">
        <v>232</v>
      </c>
      <c r="C157" s="50">
        <v>3</v>
      </c>
      <c r="D157" s="50">
        <v>3</v>
      </c>
      <c r="E157" s="50">
        <v>0</v>
      </c>
    </row>
    <row r="158" spans="1:5" x14ac:dyDescent="0.35">
      <c r="B158" t="s">
        <v>233</v>
      </c>
      <c r="C158" s="50">
        <v>1</v>
      </c>
      <c r="D158" s="50">
        <v>1</v>
      </c>
      <c r="E158" s="50">
        <v>0</v>
      </c>
    </row>
    <row r="159" spans="1:5" x14ac:dyDescent="0.35">
      <c r="B159" t="s">
        <v>239</v>
      </c>
      <c r="C159" s="50">
        <v>16</v>
      </c>
      <c r="D159" s="50">
        <v>11</v>
      </c>
      <c r="E159" s="50">
        <v>5</v>
      </c>
    </row>
    <row r="160" spans="1:5" x14ac:dyDescent="0.35">
      <c r="B160" t="s">
        <v>238</v>
      </c>
      <c r="C160" s="50">
        <v>1</v>
      </c>
      <c r="D160" s="50">
        <v>1</v>
      </c>
      <c r="E160" s="50">
        <v>0</v>
      </c>
    </row>
    <row r="161" spans="1:5" x14ac:dyDescent="0.35">
      <c r="B161" t="s">
        <v>245</v>
      </c>
      <c r="C161" s="50">
        <v>12</v>
      </c>
      <c r="D161" s="50">
        <v>12</v>
      </c>
      <c r="E161" s="50">
        <v>0</v>
      </c>
    </row>
    <row r="162" spans="1:5" x14ac:dyDescent="0.35">
      <c r="B162" t="s">
        <v>265</v>
      </c>
      <c r="C162" s="50">
        <v>1</v>
      </c>
      <c r="D162" s="50">
        <v>1</v>
      </c>
      <c r="E162" s="50">
        <v>0</v>
      </c>
    </row>
    <row r="163" spans="1:5" x14ac:dyDescent="0.35">
      <c r="B163" t="s">
        <v>405</v>
      </c>
      <c r="C163" s="50">
        <v>20</v>
      </c>
      <c r="D163" s="50">
        <v>20</v>
      </c>
      <c r="E163" s="50">
        <v>0</v>
      </c>
    </row>
    <row r="164" spans="1:5" x14ac:dyDescent="0.35">
      <c r="B164" t="s">
        <v>489</v>
      </c>
      <c r="C164" s="50">
        <v>17</v>
      </c>
      <c r="D164" s="50">
        <v>17</v>
      </c>
      <c r="E164" s="50">
        <v>0</v>
      </c>
    </row>
    <row r="165" spans="1:5" x14ac:dyDescent="0.35">
      <c r="B165" t="s">
        <v>583</v>
      </c>
      <c r="C165" s="50">
        <v>16</v>
      </c>
      <c r="D165" s="50">
        <v>16</v>
      </c>
      <c r="E165" s="50">
        <v>0</v>
      </c>
    </row>
    <row r="166" spans="1:5" x14ac:dyDescent="0.35">
      <c r="B166" t="s">
        <v>624</v>
      </c>
      <c r="C166" s="50">
        <v>44</v>
      </c>
      <c r="D166" s="50">
        <v>44</v>
      </c>
      <c r="E166" s="50">
        <v>0</v>
      </c>
    </row>
    <row r="167" spans="1:5" x14ac:dyDescent="0.35">
      <c r="B167" t="s">
        <v>625</v>
      </c>
      <c r="C167" s="50">
        <v>13</v>
      </c>
      <c r="D167" s="50">
        <v>13</v>
      </c>
      <c r="E167" s="50">
        <v>0</v>
      </c>
    </row>
    <row r="168" spans="1:5" x14ac:dyDescent="0.35">
      <c r="B168" t="s">
        <v>658</v>
      </c>
      <c r="C168" s="50">
        <v>1</v>
      </c>
      <c r="D168" s="50">
        <v>1</v>
      </c>
      <c r="E168" s="50">
        <v>0</v>
      </c>
    </row>
    <row r="169" spans="1:5" x14ac:dyDescent="0.35">
      <c r="B169" t="s">
        <v>645</v>
      </c>
      <c r="C169" s="50">
        <v>4</v>
      </c>
      <c r="D169" s="50">
        <v>4</v>
      </c>
      <c r="E169" s="50">
        <v>0</v>
      </c>
    </row>
    <row r="170" spans="1:5" x14ac:dyDescent="0.35">
      <c r="B170" t="s">
        <v>634</v>
      </c>
      <c r="C170" s="50">
        <v>20</v>
      </c>
      <c r="D170" s="50">
        <v>20</v>
      </c>
      <c r="E170" s="50">
        <v>0</v>
      </c>
    </row>
    <row r="171" spans="1:5" x14ac:dyDescent="0.35">
      <c r="B171" t="s">
        <v>655</v>
      </c>
      <c r="C171" s="50">
        <v>2</v>
      </c>
      <c r="D171" s="50">
        <v>2</v>
      </c>
      <c r="E171" s="50">
        <v>0</v>
      </c>
    </row>
    <row r="172" spans="1:5" x14ac:dyDescent="0.35">
      <c r="B172" t="s">
        <v>657</v>
      </c>
      <c r="C172" s="50">
        <v>10</v>
      </c>
      <c r="D172" s="50">
        <v>10</v>
      </c>
      <c r="E172" s="50">
        <v>0</v>
      </c>
    </row>
    <row r="173" spans="1:5" x14ac:dyDescent="0.35">
      <c r="B173" t="s">
        <v>687</v>
      </c>
      <c r="C173" s="50">
        <v>12</v>
      </c>
      <c r="D173" s="50">
        <v>3</v>
      </c>
      <c r="E173" s="50">
        <v>9</v>
      </c>
    </row>
    <row r="174" spans="1:5" x14ac:dyDescent="0.35">
      <c r="A174" s="51" t="s">
        <v>244</v>
      </c>
      <c r="B174" s="51"/>
      <c r="C174" s="52">
        <v>294</v>
      </c>
      <c r="D174" s="52">
        <v>280</v>
      </c>
      <c r="E174" s="52">
        <v>14</v>
      </c>
    </row>
    <row r="175" spans="1:5" x14ac:dyDescent="0.35">
      <c r="A175">
        <v>2</v>
      </c>
      <c r="B175" t="s">
        <v>19</v>
      </c>
      <c r="C175" s="50">
        <v>32</v>
      </c>
      <c r="D175" s="50">
        <v>32</v>
      </c>
      <c r="E175" s="50">
        <v>0</v>
      </c>
    </row>
    <row r="176" spans="1:5" x14ac:dyDescent="0.35">
      <c r="B176" t="s">
        <v>16</v>
      </c>
      <c r="C176" s="50">
        <v>11</v>
      </c>
      <c r="D176" s="50">
        <v>11</v>
      </c>
      <c r="E176" s="50">
        <v>0</v>
      </c>
    </row>
    <row r="177" spans="1:5" x14ac:dyDescent="0.35">
      <c r="B177" t="s">
        <v>29</v>
      </c>
      <c r="C177" s="50">
        <v>40</v>
      </c>
      <c r="D177" s="50">
        <v>40</v>
      </c>
      <c r="E177" s="50">
        <v>0</v>
      </c>
    </row>
    <row r="178" spans="1:5" x14ac:dyDescent="0.35">
      <c r="B178" t="s">
        <v>64</v>
      </c>
      <c r="C178" s="50">
        <v>20</v>
      </c>
      <c r="D178" s="50">
        <v>20</v>
      </c>
      <c r="E178" s="50">
        <v>0</v>
      </c>
    </row>
    <row r="179" spans="1:5" x14ac:dyDescent="0.35">
      <c r="B179" t="s">
        <v>28</v>
      </c>
      <c r="C179" s="50">
        <v>40</v>
      </c>
      <c r="D179" s="50">
        <v>40</v>
      </c>
      <c r="E179" s="50">
        <v>0</v>
      </c>
    </row>
    <row r="180" spans="1:5" x14ac:dyDescent="0.35">
      <c r="B180" t="s">
        <v>194</v>
      </c>
      <c r="C180" s="50">
        <v>20</v>
      </c>
      <c r="D180" s="50">
        <v>20</v>
      </c>
      <c r="E180" s="50">
        <v>0</v>
      </c>
    </row>
    <row r="181" spans="1:5" x14ac:dyDescent="0.35">
      <c r="B181" t="s">
        <v>229</v>
      </c>
      <c r="C181" s="50">
        <v>1</v>
      </c>
      <c r="D181" s="50">
        <v>1</v>
      </c>
      <c r="E181" s="50">
        <v>0</v>
      </c>
    </row>
    <row r="182" spans="1:5" x14ac:dyDescent="0.35">
      <c r="B182" t="s">
        <v>233</v>
      </c>
      <c r="C182" s="50">
        <v>2</v>
      </c>
      <c r="D182" s="50">
        <v>2</v>
      </c>
      <c r="E182" s="50">
        <v>0</v>
      </c>
    </row>
    <row r="183" spans="1:5" x14ac:dyDescent="0.35">
      <c r="B183" t="s">
        <v>245</v>
      </c>
      <c r="C183" s="50">
        <v>12</v>
      </c>
      <c r="D183" s="50">
        <v>10</v>
      </c>
      <c r="E183" s="50">
        <v>2</v>
      </c>
    </row>
    <row r="184" spans="1:5" x14ac:dyDescent="0.35">
      <c r="B184" t="s">
        <v>254</v>
      </c>
      <c r="C184" s="50">
        <v>2</v>
      </c>
      <c r="D184" s="50">
        <v>2</v>
      </c>
      <c r="E184" s="50">
        <v>0</v>
      </c>
    </row>
    <row r="185" spans="1:5" x14ac:dyDescent="0.35">
      <c r="B185" t="s">
        <v>270</v>
      </c>
      <c r="C185" s="50">
        <v>3</v>
      </c>
      <c r="D185" s="50">
        <v>3</v>
      </c>
      <c r="E185" s="50">
        <v>0</v>
      </c>
    </row>
    <row r="186" spans="1:5" x14ac:dyDescent="0.35">
      <c r="B186" t="s">
        <v>405</v>
      </c>
      <c r="C186" s="50">
        <v>1</v>
      </c>
      <c r="D186" s="50">
        <v>1</v>
      </c>
      <c r="E186" s="50">
        <v>0</v>
      </c>
    </row>
    <row r="187" spans="1:5" x14ac:dyDescent="0.35">
      <c r="B187" t="s">
        <v>625</v>
      </c>
      <c r="C187" s="50">
        <v>10</v>
      </c>
      <c r="D187" s="50">
        <v>8</v>
      </c>
      <c r="E187" s="50">
        <v>2</v>
      </c>
    </row>
    <row r="188" spans="1:5" x14ac:dyDescent="0.35">
      <c r="B188" t="s">
        <v>658</v>
      </c>
      <c r="C188" s="50">
        <v>1</v>
      </c>
      <c r="D188" s="50">
        <v>1</v>
      </c>
      <c r="E188" s="50">
        <v>0</v>
      </c>
    </row>
    <row r="189" spans="1:5" x14ac:dyDescent="0.35">
      <c r="B189" t="s">
        <v>691</v>
      </c>
      <c r="C189" s="50">
        <v>1</v>
      </c>
      <c r="D189" s="50">
        <v>1</v>
      </c>
      <c r="E189" s="50">
        <v>0</v>
      </c>
    </row>
    <row r="190" spans="1:5" x14ac:dyDescent="0.35">
      <c r="A190" s="51" t="s">
        <v>269</v>
      </c>
      <c r="B190" s="51"/>
      <c r="C190" s="52">
        <v>196</v>
      </c>
      <c r="D190" s="52">
        <v>192</v>
      </c>
      <c r="E190" s="52">
        <v>4</v>
      </c>
    </row>
    <row r="191" spans="1:5" x14ac:dyDescent="0.35">
      <c r="A191">
        <v>4</v>
      </c>
      <c r="B191" t="s">
        <v>19</v>
      </c>
      <c r="C191" s="50">
        <v>40</v>
      </c>
      <c r="D191" s="50">
        <v>16</v>
      </c>
      <c r="E191" s="50">
        <v>24</v>
      </c>
    </row>
    <row r="192" spans="1:5" x14ac:dyDescent="0.35">
      <c r="B192" t="s">
        <v>16</v>
      </c>
      <c r="C192" s="50">
        <v>5</v>
      </c>
      <c r="D192" s="50">
        <v>5</v>
      </c>
      <c r="E192" s="50">
        <v>0</v>
      </c>
    </row>
    <row r="193" spans="2:5" x14ac:dyDescent="0.35">
      <c r="B193" t="s">
        <v>17</v>
      </c>
      <c r="C193" s="50">
        <v>2</v>
      </c>
      <c r="D193" s="50">
        <v>2</v>
      </c>
      <c r="E193" s="50">
        <v>0</v>
      </c>
    </row>
    <row r="194" spans="2:5" x14ac:dyDescent="0.35">
      <c r="B194" t="s">
        <v>29</v>
      </c>
      <c r="C194" s="50">
        <v>31</v>
      </c>
      <c r="D194" s="50">
        <v>31</v>
      </c>
      <c r="E194" s="50">
        <v>0</v>
      </c>
    </row>
    <row r="195" spans="2:5" x14ac:dyDescent="0.35">
      <c r="B195" t="s">
        <v>64</v>
      </c>
      <c r="C195" s="50">
        <v>15</v>
      </c>
      <c r="D195" s="50">
        <v>15</v>
      </c>
      <c r="E195" s="50">
        <v>0</v>
      </c>
    </row>
    <row r="196" spans="2:5" x14ac:dyDescent="0.35">
      <c r="B196" t="s">
        <v>28</v>
      </c>
      <c r="C196" s="50">
        <v>120</v>
      </c>
      <c r="D196" s="50">
        <v>92</v>
      </c>
      <c r="E196" s="50">
        <v>28</v>
      </c>
    </row>
    <row r="197" spans="2:5" x14ac:dyDescent="0.35">
      <c r="B197" t="s">
        <v>233</v>
      </c>
      <c r="C197" s="50">
        <v>2</v>
      </c>
      <c r="D197" s="50">
        <v>2</v>
      </c>
      <c r="E197" s="50">
        <v>0</v>
      </c>
    </row>
    <row r="198" spans="2:5" x14ac:dyDescent="0.35">
      <c r="B198" t="s">
        <v>356</v>
      </c>
      <c r="C198" s="50">
        <v>6</v>
      </c>
      <c r="D198" s="50">
        <v>6</v>
      </c>
      <c r="E198" s="50">
        <v>0</v>
      </c>
    </row>
    <row r="199" spans="2:5" x14ac:dyDescent="0.35">
      <c r="B199" t="s">
        <v>357</v>
      </c>
      <c r="C199" s="50">
        <v>2</v>
      </c>
      <c r="D199" s="50">
        <v>2</v>
      </c>
      <c r="E199" s="50">
        <v>0</v>
      </c>
    </row>
    <row r="200" spans="2:5" x14ac:dyDescent="0.35">
      <c r="B200" t="s">
        <v>358</v>
      </c>
      <c r="C200" s="50">
        <v>2</v>
      </c>
      <c r="D200" s="50">
        <v>2</v>
      </c>
      <c r="E200" s="50">
        <v>0</v>
      </c>
    </row>
    <row r="201" spans="2:5" x14ac:dyDescent="0.35">
      <c r="B201" t="s">
        <v>359</v>
      </c>
      <c r="C201" s="50">
        <v>10</v>
      </c>
      <c r="D201" s="50">
        <v>10</v>
      </c>
      <c r="E201" s="50">
        <v>0</v>
      </c>
    </row>
    <row r="202" spans="2:5" x14ac:dyDescent="0.35">
      <c r="B202" t="s">
        <v>645</v>
      </c>
      <c r="C202" s="50">
        <v>4</v>
      </c>
      <c r="D202" s="50">
        <v>2</v>
      </c>
      <c r="E202" s="50">
        <v>2</v>
      </c>
    </row>
    <row r="203" spans="2:5" x14ac:dyDescent="0.35">
      <c r="B203" t="s">
        <v>677</v>
      </c>
      <c r="C203" s="50">
        <v>2</v>
      </c>
      <c r="D203" s="50">
        <v>2</v>
      </c>
      <c r="E203" s="50">
        <v>0</v>
      </c>
    </row>
    <row r="204" spans="2:5" x14ac:dyDescent="0.35">
      <c r="B204" t="s">
        <v>691</v>
      </c>
      <c r="C204" s="50">
        <v>1</v>
      </c>
      <c r="D204" s="50">
        <v>1</v>
      </c>
      <c r="E204" s="50">
        <v>0</v>
      </c>
    </row>
    <row r="205" spans="2:5" x14ac:dyDescent="0.35">
      <c r="B205" t="s">
        <v>733</v>
      </c>
      <c r="C205" s="50">
        <v>83</v>
      </c>
      <c r="D205" s="50">
        <v>79</v>
      </c>
      <c r="E205" s="50">
        <v>4</v>
      </c>
    </row>
    <row r="206" spans="2:5" x14ac:dyDescent="0.35">
      <c r="B206" t="s">
        <v>748</v>
      </c>
      <c r="C206" s="50">
        <v>19</v>
      </c>
      <c r="D206" s="50">
        <v>19</v>
      </c>
      <c r="E206" s="50">
        <v>0</v>
      </c>
    </row>
    <row r="207" spans="2:5" x14ac:dyDescent="0.35">
      <c r="B207" t="s">
        <v>767</v>
      </c>
      <c r="C207" s="50">
        <v>20</v>
      </c>
      <c r="D207" s="50">
        <v>5</v>
      </c>
      <c r="E207" s="50">
        <v>15</v>
      </c>
    </row>
    <row r="208" spans="2:5" x14ac:dyDescent="0.35">
      <c r="B208" t="s">
        <v>769</v>
      </c>
      <c r="C208" s="50">
        <v>9</v>
      </c>
      <c r="D208" s="50">
        <v>7</v>
      </c>
      <c r="E208" s="50">
        <v>2</v>
      </c>
    </row>
    <row r="209" spans="1:5" x14ac:dyDescent="0.35">
      <c r="B209" t="s">
        <v>768</v>
      </c>
      <c r="C209" s="50">
        <v>1</v>
      </c>
      <c r="D209" s="50">
        <v>1</v>
      </c>
      <c r="E209" s="50">
        <v>0</v>
      </c>
    </row>
    <row r="210" spans="1:5" x14ac:dyDescent="0.35">
      <c r="B210" t="s">
        <v>795</v>
      </c>
      <c r="C210" s="50">
        <v>2</v>
      </c>
      <c r="D210" s="50">
        <v>2</v>
      </c>
      <c r="E210" s="50">
        <v>0</v>
      </c>
    </row>
    <row r="211" spans="1:5" x14ac:dyDescent="0.35">
      <c r="B211" t="s">
        <v>799</v>
      </c>
      <c r="C211" s="50">
        <v>21</v>
      </c>
      <c r="D211" s="50">
        <v>9</v>
      </c>
      <c r="E211" s="50">
        <v>12</v>
      </c>
    </row>
    <row r="212" spans="1:5" x14ac:dyDescent="0.35">
      <c r="B212" t="s">
        <v>822</v>
      </c>
      <c r="C212" s="50">
        <v>28</v>
      </c>
      <c r="D212" s="50">
        <v>21</v>
      </c>
      <c r="E212" s="50">
        <v>7</v>
      </c>
    </row>
    <row r="213" spans="1:5" x14ac:dyDescent="0.35">
      <c r="B213" t="s">
        <v>823</v>
      </c>
      <c r="C213" s="50">
        <v>15</v>
      </c>
      <c r="D213" s="50">
        <v>2</v>
      </c>
      <c r="E213" s="50">
        <v>13</v>
      </c>
    </row>
    <row r="214" spans="1:5" x14ac:dyDescent="0.35">
      <c r="B214" t="s">
        <v>825</v>
      </c>
      <c r="C214" s="50">
        <v>3</v>
      </c>
      <c r="D214" s="50"/>
      <c r="E214" s="50">
        <v>3</v>
      </c>
    </row>
    <row r="215" spans="1:5" x14ac:dyDescent="0.35">
      <c r="B215" t="s">
        <v>824</v>
      </c>
      <c r="C215" s="50">
        <v>40</v>
      </c>
      <c r="D215" s="50">
        <v>17</v>
      </c>
      <c r="E215" s="50">
        <v>23</v>
      </c>
    </row>
    <row r="216" spans="1:5" x14ac:dyDescent="0.35">
      <c r="B216" t="s">
        <v>826</v>
      </c>
      <c r="C216" s="50">
        <v>10</v>
      </c>
      <c r="D216" s="50">
        <v>5</v>
      </c>
      <c r="E216" s="50">
        <v>5</v>
      </c>
    </row>
    <row r="217" spans="1:5" x14ac:dyDescent="0.35">
      <c r="B217" t="s">
        <v>828</v>
      </c>
      <c r="C217" s="50">
        <v>1</v>
      </c>
      <c r="D217" s="50">
        <v>1</v>
      </c>
      <c r="E217" s="50">
        <v>0</v>
      </c>
    </row>
    <row r="218" spans="1:5" x14ac:dyDescent="0.35">
      <c r="A218" s="51" t="s">
        <v>340</v>
      </c>
      <c r="B218" s="51"/>
      <c r="C218" s="52">
        <v>494</v>
      </c>
      <c r="D218" s="52">
        <v>356</v>
      </c>
      <c r="E218" s="52">
        <v>138</v>
      </c>
    </row>
    <row r="219" spans="1:5" x14ac:dyDescent="0.35">
      <c r="A219">
        <v>5</v>
      </c>
      <c r="B219" t="s">
        <v>19</v>
      </c>
      <c r="C219" s="50">
        <v>12</v>
      </c>
      <c r="D219" s="50">
        <v>12</v>
      </c>
      <c r="E219" s="50">
        <v>0</v>
      </c>
    </row>
    <row r="220" spans="1:5" x14ac:dyDescent="0.35">
      <c r="B220" t="s">
        <v>31</v>
      </c>
      <c r="C220" s="50">
        <v>4</v>
      </c>
      <c r="D220" s="50">
        <v>4</v>
      </c>
      <c r="E220" s="50">
        <v>0</v>
      </c>
    </row>
    <row r="221" spans="1:5" x14ac:dyDescent="0.35">
      <c r="B221" t="s">
        <v>29</v>
      </c>
      <c r="C221" s="50">
        <v>20</v>
      </c>
      <c r="D221" s="50">
        <v>20</v>
      </c>
      <c r="E221" s="50">
        <v>0</v>
      </c>
    </row>
    <row r="222" spans="1:5" x14ac:dyDescent="0.35">
      <c r="B222" t="s">
        <v>64</v>
      </c>
      <c r="C222" s="50">
        <v>10</v>
      </c>
      <c r="D222" s="50">
        <v>10</v>
      </c>
      <c r="E222" s="50">
        <v>0</v>
      </c>
    </row>
    <row r="223" spans="1:5" x14ac:dyDescent="0.35">
      <c r="B223" t="s">
        <v>233</v>
      </c>
      <c r="C223" s="50">
        <v>2</v>
      </c>
      <c r="D223" s="50">
        <v>2</v>
      </c>
      <c r="E223" s="50">
        <v>0</v>
      </c>
    </row>
    <row r="224" spans="1:5" x14ac:dyDescent="0.35">
      <c r="B224" t="s">
        <v>356</v>
      </c>
      <c r="C224" s="50">
        <v>3</v>
      </c>
      <c r="D224" s="50">
        <v>3</v>
      </c>
      <c r="E224" s="50">
        <v>0</v>
      </c>
    </row>
    <row r="225" spans="1:5" x14ac:dyDescent="0.35">
      <c r="B225" t="s">
        <v>365</v>
      </c>
      <c r="C225" s="50">
        <v>1</v>
      </c>
      <c r="D225" s="50">
        <v>1</v>
      </c>
      <c r="E225" s="50">
        <v>0</v>
      </c>
    </row>
    <row r="226" spans="1:5" x14ac:dyDescent="0.35">
      <c r="B226" t="s">
        <v>373</v>
      </c>
      <c r="C226" s="50">
        <v>1</v>
      </c>
      <c r="D226" s="50">
        <v>1</v>
      </c>
      <c r="E226" s="50">
        <v>0</v>
      </c>
    </row>
    <row r="227" spans="1:5" x14ac:dyDescent="0.35">
      <c r="B227" t="s">
        <v>375</v>
      </c>
      <c r="C227" s="50">
        <v>16</v>
      </c>
      <c r="D227" s="50">
        <v>16</v>
      </c>
      <c r="E227" s="50">
        <v>0</v>
      </c>
    </row>
    <row r="228" spans="1:5" x14ac:dyDescent="0.35">
      <c r="B228" t="s">
        <v>378</v>
      </c>
      <c r="C228" s="50">
        <v>16</v>
      </c>
      <c r="D228" s="50">
        <v>16</v>
      </c>
      <c r="E228" s="50">
        <v>0</v>
      </c>
    </row>
    <row r="229" spans="1:5" x14ac:dyDescent="0.35">
      <c r="A229" s="51" t="s">
        <v>395</v>
      </c>
      <c r="B229" s="51"/>
      <c r="C229" s="52">
        <v>85</v>
      </c>
      <c r="D229" s="52">
        <v>85</v>
      </c>
      <c r="E229" s="52">
        <v>0</v>
      </c>
    </row>
    <row r="230" spans="1:5" x14ac:dyDescent="0.35">
      <c r="A230" t="s">
        <v>335</v>
      </c>
      <c r="B230" t="s">
        <v>29</v>
      </c>
      <c r="C230" s="50">
        <v>10</v>
      </c>
      <c r="D230" s="50">
        <v>10</v>
      </c>
      <c r="E230" s="50">
        <v>0</v>
      </c>
    </row>
    <row r="231" spans="1:5" x14ac:dyDescent="0.35">
      <c r="A231" s="51" t="s">
        <v>336</v>
      </c>
      <c r="B231" s="51"/>
      <c r="C231" s="52">
        <v>10</v>
      </c>
      <c r="D231" s="52">
        <v>10</v>
      </c>
      <c r="E231" s="52">
        <v>0</v>
      </c>
    </row>
    <row r="232" spans="1:5" x14ac:dyDescent="0.35">
      <c r="A232" t="s">
        <v>181</v>
      </c>
      <c r="C232" s="50">
        <v>2544</v>
      </c>
      <c r="D232" s="50">
        <v>2365</v>
      </c>
      <c r="E232" s="50">
        <v>179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3:E106"/>
  <sheetViews>
    <sheetView topLeftCell="A3" workbookViewId="0">
      <selection activeCell="E107" sqref="E107"/>
    </sheetView>
  </sheetViews>
  <sheetFormatPr defaultRowHeight="14.5" x14ac:dyDescent="0.35"/>
  <cols>
    <col min="1" max="1" width="8.7265625" style="33"/>
    <col min="2" max="2" width="43.1796875" style="33" bestFit="1" customWidth="1"/>
    <col min="3" max="3" width="14.90625" style="33" bestFit="1" customWidth="1"/>
    <col min="4" max="4" width="16.08984375" style="33" bestFit="1" customWidth="1"/>
    <col min="5" max="5" width="18.54296875" style="33" bestFit="1" customWidth="1"/>
    <col min="6" max="16384" width="8.7265625" style="33"/>
  </cols>
  <sheetData>
    <row r="3" spans="2:5" x14ac:dyDescent="0.35">
      <c r="B3" t="s">
        <v>178</v>
      </c>
      <c r="C3" t="s">
        <v>191</v>
      </c>
      <c r="D3" t="s">
        <v>192</v>
      </c>
      <c r="E3" t="s">
        <v>189</v>
      </c>
    </row>
    <row r="4" spans="2:5" hidden="1" x14ac:dyDescent="0.35">
      <c r="B4" s="33" t="s">
        <v>134</v>
      </c>
      <c r="C4" s="61">
        <v>1</v>
      </c>
      <c r="D4" s="61">
        <v>1</v>
      </c>
      <c r="E4" s="61">
        <v>0</v>
      </c>
    </row>
    <row r="5" spans="2:5" hidden="1" x14ac:dyDescent="0.35">
      <c r="B5" s="33" t="s">
        <v>63</v>
      </c>
      <c r="C5" s="61">
        <v>2</v>
      </c>
      <c r="D5" s="61">
        <v>2</v>
      </c>
      <c r="E5" s="61">
        <v>0</v>
      </c>
    </row>
    <row r="6" spans="2:5" x14ac:dyDescent="0.35">
      <c r="B6" s="33" t="s">
        <v>19</v>
      </c>
      <c r="C6" s="61">
        <v>220</v>
      </c>
      <c r="D6" s="61">
        <v>196</v>
      </c>
      <c r="E6" s="61">
        <v>24</v>
      </c>
    </row>
    <row r="7" spans="2:5" hidden="1" x14ac:dyDescent="0.35">
      <c r="B7" s="33" t="s">
        <v>179</v>
      </c>
      <c r="C7" s="61">
        <v>4</v>
      </c>
      <c r="D7" s="61">
        <v>4</v>
      </c>
      <c r="E7" s="61">
        <v>0</v>
      </c>
    </row>
    <row r="8" spans="2:5" x14ac:dyDescent="0.35">
      <c r="B8" s="33" t="s">
        <v>180</v>
      </c>
      <c r="C8" s="61">
        <v>61</v>
      </c>
      <c r="D8" s="61">
        <v>45</v>
      </c>
      <c r="E8" s="61">
        <v>16</v>
      </c>
    </row>
    <row r="9" spans="2:5" hidden="1" x14ac:dyDescent="0.35">
      <c r="B9" s="33" t="s">
        <v>176</v>
      </c>
      <c r="C9" s="61">
        <v>56</v>
      </c>
      <c r="D9" s="61">
        <v>56</v>
      </c>
      <c r="E9" s="61">
        <v>0</v>
      </c>
    </row>
    <row r="10" spans="2:5" hidden="1" x14ac:dyDescent="0.35">
      <c r="B10" s="33" t="s">
        <v>177</v>
      </c>
      <c r="C10" s="61">
        <v>42</v>
      </c>
      <c r="D10" s="61">
        <v>42</v>
      </c>
      <c r="E10" s="61">
        <v>0</v>
      </c>
    </row>
    <row r="11" spans="2:5" hidden="1" x14ac:dyDescent="0.35">
      <c r="B11" s="33" t="s">
        <v>16</v>
      </c>
      <c r="C11" s="61">
        <v>96</v>
      </c>
      <c r="D11" s="61">
        <v>96</v>
      </c>
      <c r="E11" s="61">
        <v>0</v>
      </c>
    </row>
    <row r="12" spans="2:5" hidden="1" x14ac:dyDescent="0.35">
      <c r="B12" s="33" t="s">
        <v>55</v>
      </c>
      <c r="C12" s="61">
        <v>4</v>
      </c>
      <c r="D12" s="61">
        <v>4</v>
      </c>
      <c r="E12" s="61">
        <v>0</v>
      </c>
    </row>
    <row r="13" spans="2:5" hidden="1" x14ac:dyDescent="0.35">
      <c r="B13" s="33" t="s">
        <v>17</v>
      </c>
      <c r="C13" s="61">
        <v>14</v>
      </c>
      <c r="D13" s="61">
        <v>14</v>
      </c>
      <c r="E13" s="61">
        <v>0</v>
      </c>
    </row>
    <row r="14" spans="2:5" hidden="1" x14ac:dyDescent="0.35">
      <c r="B14" s="33" t="s">
        <v>31</v>
      </c>
      <c r="C14" s="61">
        <v>13</v>
      </c>
      <c r="D14" s="61">
        <v>13</v>
      </c>
      <c r="E14" s="61">
        <v>0</v>
      </c>
    </row>
    <row r="15" spans="2:5" hidden="1" x14ac:dyDescent="0.35">
      <c r="B15" s="33" t="s">
        <v>29</v>
      </c>
      <c r="C15" s="61">
        <v>210</v>
      </c>
      <c r="D15" s="61">
        <v>210</v>
      </c>
      <c r="E15" s="61">
        <v>0</v>
      </c>
    </row>
    <row r="16" spans="2:5" hidden="1" x14ac:dyDescent="0.35">
      <c r="B16" s="33" t="s">
        <v>153</v>
      </c>
      <c r="C16" s="61">
        <v>1</v>
      </c>
      <c r="D16" s="61">
        <v>1</v>
      </c>
      <c r="E16" s="61">
        <v>0</v>
      </c>
    </row>
    <row r="17" spans="2:5" hidden="1" x14ac:dyDescent="0.35">
      <c r="B17" s="33" t="s">
        <v>139</v>
      </c>
      <c r="C17" s="61">
        <v>1</v>
      </c>
      <c r="D17" s="61">
        <v>1</v>
      </c>
      <c r="E17" s="61">
        <v>0</v>
      </c>
    </row>
    <row r="18" spans="2:5" hidden="1" x14ac:dyDescent="0.35">
      <c r="B18" s="33" t="s">
        <v>64</v>
      </c>
      <c r="C18" s="61">
        <v>105</v>
      </c>
      <c r="D18" s="61">
        <v>105</v>
      </c>
      <c r="E18" s="61">
        <v>0</v>
      </c>
    </row>
    <row r="19" spans="2:5" hidden="1" x14ac:dyDescent="0.35">
      <c r="B19" s="33" t="s">
        <v>15</v>
      </c>
      <c r="C19" s="61">
        <v>3</v>
      </c>
      <c r="D19" s="61">
        <v>3</v>
      </c>
      <c r="E19" s="61">
        <v>0</v>
      </c>
    </row>
    <row r="20" spans="2:5" hidden="1" x14ac:dyDescent="0.35">
      <c r="B20" s="33" t="s">
        <v>14</v>
      </c>
      <c r="C20" s="61">
        <v>7</v>
      </c>
      <c r="D20" s="61">
        <v>7</v>
      </c>
      <c r="E20" s="61">
        <v>0</v>
      </c>
    </row>
    <row r="21" spans="2:5" x14ac:dyDescent="0.35">
      <c r="B21" s="33" t="s">
        <v>28</v>
      </c>
      <c r="C21" s="61">
        <v>407</v>
      </c>
      <c r="D21" s="61">
        <v>379</v>
      </c>
      <c r="E21" s="61">
        <v>28</v>
      </c>
    </row>
    <row r="22" spans="2:5" hidden="1" x14ac:dyDescent="0.35">
      <c r="B22" s="33" t="s">
        <v>21</v>
      </c>
      <c r="C22" s="61">
        <v>1</v>
      </c>
      <c r="D22" s="61">
        <v>1</v>
      </c>
      <c r="E22" s="61">
        <v>0</v>
      </c>
    </row>
    <row r="23" spans="2:5" hidden="1" x14ac:dyDescent="0.35">
      <c r="B23" s="33" t="s">
        <v>37</v>
      </c>
      <c r="C23" s="61">
        <v>19</v>
      </c>
      <c r="D23" s="61">
        <v>19</v>
      </c>
      <c r="E23" s="61">
        <v>0</v>
      </c>
    </row>
    <row r="24" spans="2:5" hidden="1" x14ac:dyDescent="0.35">
      <c r="B24" s="33" t="s">
        <v>33</v>
      </c>
      <c r="C24" s="61">
        <v>2</v>
      </c>
      <c r="D24" s="61">
        <v>2</v>
      </c>
      <c r="E24" s="61">
        <v>0</v>
      </c>
    </row>
    <row r="25" spans="2:5" hidden="1" x14ac:dyDescent="0.35">
      <c r="B25" s="33" t="s">
        <v>194</v>
      </c>
      <c r="C25" s="61">
        <v>77</v>
      </c>
      <c r="D25" s="61">
        <v>77</v>
      </c>
      <c r="E25" s="61">
        <v>0</v>
      </c>
    </row>
    <row r="26" spans="2:5" hidden="1" x14ac:dyDescent="0.35">
      <c r="B26" s="33" t="s">
        <v>196</v>
      </c>
      <c r="C26" s="61">
        <v>3</v>
      </c>
      <c r="D26" s="61">
        <v>3</v>
      </c>
      <c r="E26" s="61">
        <v>0</v>
      </c>
    </row>
    <row r="27" spans="2:5" hidden="1" x14ac:dyDescent="0.35">
      <c r="B27" s="33" t="s">
        <v>236</v>
      </c>
      <c r="C27" s="61">
        <v>4</v>
      </c>
      <c r="D27" s="61">
        <v>4</v>
      </c>
      <c r="E27" s="61">
        <v>0</v>
      </c>
    </row>
    <row r="28" spans="2:5" hidden="1" x14ac:dyDescent="0.35">
      <c r="B28" s="33" t="s">
        <v>213</v>
      </c>
      <c r="C28" s="61">
        <v>2</v>
      </c>
      <c r="D28" s="61">
        <v>2</v>
      </c>
      <c r="E28" s="61">
        <v>0</v>
      </c>
    </row>
    <row r="29" spans="2:5" hidden="1" x14ac:dyDescent="0.35">
      <c r="B29" s="33" t="s">
        <v>214</v>
      </c>
      <c r="C29" s="61">
        <v>2</v>
      </c>
      <c r="D29" s="61">
        <v>2</v>
      </c>
      <c r="E29" s="61">
        <v>0</v>
      </c>
    </row>
    <row r="30" spans="2:5" hidden="1" x14ac:dyDescent="0.35">
      <c r="B30" s="33" t="s">
        <v>229</v>
      </c>
      <c r="C30" s="61">
        <v>7</v>
      </c>
      <c r="D30" s="61">
        <v>7</v>
      </c>
      <c r="E30" s="61">
        <v>0</v>
      </c>
    </row>
    <row r="31" spans="2:5" hidden="1" x14ac:dyDescent="0.35">
      <c r="B31" s="33" t="s">
        <v>234</v>
      </c>
      <c r="C31" s="61">
        <v>2</v>
      </c>
      <c r="D31" s="61">
        <v>2</v>
      </c>
      <c r="E31" s="61">
        <v>0</v>
      </c>
    </row>
    <row r="32" spans="2:5" hidden="1" x14ac:dyDescent="0.35">
      <c r="B32" s="33" t="s">
        <v>231</v>
      </c>
      <c r="C32" s="61">
        <v>1</v>
      </c>
      <c r="D32" s="61">
        <v>1</v>
      </c>
      <c r="E32" s="61">
        <v>0</v>
      </c>
    </row>
    <row r="33" spans="2:5" hidden="1" x14ac:dyDescent="0.35">
      <c r="B33" s="33" t="s">
        <v>232</v>
      </c>
      <c r="C33" s="61">
        <v>3</v>
      </c>
      <c r="D33" s="61">
        <v>3</v>
      </c>
      <c r="E33" s="61">
        <v>0</v>
      </c>
    </row>
    <row r="34" spans="2:5" hidden="1" x14ac:dyDescent="0.35">
      <c r="B34" s="33" t="s">
        <v>233</v>
      </c>
      <c r="C34" s="61">
        <v>17</v>
      </c>
      <c r="D34" s="61">
        <v>17</v>
      </c>
      <c r="E34" s="61">
        <v>0</v>
      </c>
    </row>
    <row r="35" spans="2:5" x14ac:dyDescent="0.35">
      <c r="B35" s="51" t="s">
        <v>239</v>
      </c>
      <c r="C35" s="52">
        <v>16</v>
      </c>
      <c r="D35" s="52">
        <v>11</v>
      </c>
      <c r="E35" s="52">
        <v>5</v>
      </c>
    </row>
    <row r="36" spans="2:5" hidden="1" x14ac:dyDescent="0.35">
      <c r="B36" s="33" t="s">
        <v>238</v>
      </c>
      <c r="C36" s="61">
        <v>1</v>
      </c>
      <c r="D36" s="61">
        <v>1</v>
      </c>
      <c r="E36" s="61">
        <v>0</v>
      </c>
    </row>
    <row r="37" spans="2:5" x14ac:dyDescent="0.35">
      <c r="B37" s="33" t="s">
        <v>245</v>
      </c>
      <c r="C37" s="61">
        <v>28</v>
      </c>
      <c r="D37" s="61">
        <v>26</v>
      </c>
      <c r="E37" s="61">
        <v>2</v>
      </c>
    </row>
    <row r="38" spans="2:5" hidden="1" x14ac:dyDescent="0.35">
      <c r="B38" s="33" t="s">
        <v>265</v>
      </c>
      <c r="C38" s="61">
        <v>3</v>
      </c>
      <c r="D38" s="61">
        <v>3</v>
      </c>
      <c r="E38" s="61">
        <v>0</v>
      </c>
    </row>
    <row r="39" spans="2:5" hidden="1" x14ac:dyDescent="0.35">
      <c r="B39" s="33" t="s">
        <v>254</v>
      </c>
      <c r="C39" s="61">
        <v>2</v>
      </c>
      <c r="D39" s="61">
        <v>2</v>
      </c>
      <c r="E39" s="61">
        <v>0</v>
      </c>
    </row>
    <row r="40" spans="2:5" hidden="1" x14ac:dyDescent="0.35">
      <c r="B40" s="33" t="s">
        <v>270</v>
      </c>
      <c r="C40" s="61">
        <v>3</v>
      </c>
      <c r="D40" s="61">
        <v>3</v>
      </c>
      <c r="E40" s="61">
        <v>0</v>
      </c>
    </row>
    <row r="41" spans="2:5" x14ac:dyDescent="0.35">
      <c r="B41" s="33" t="s">
        <v>318</v>
      </c>
      <c r="C41" s="61">
        <v>20</v>
      </c>
      <c r="D41" s="61">
        <v>13</v>
      </c>
      <c r="E41" s="61">
        <v>7</v>
      </c>
    </row>
    <row r="42" spans="2:5" hidden="1" x14ac:dyDescent="0.35">
      <c r="B42" s="33" t="s">
        <v>313</v>
      </c>
      <c r="C42" s="61">
        <v>2</v>
      </c>
      <c r="D42" s="61">
        <v>2</v>
      </c>
      <c r="E42" s="61">
        <v>0</v>
      </c>
    </row>
    <row r="43" spans="2:5" hidden="1" x14ac:dyDescent="0.35">
      <c r="B43" s="33" t="s">
        <v>314</v>
      </c>
      <c r="C43" s="61">
        <v>2</v>
      </c>
      <c r="D43" s="61">
        <v>2</v>
      </c>
      <c r="E43" s="61">
        <v>0</v>
      </c>
    </row>
    <row r="44" spans="2:5" hidden="1" x14ac:dyDescent="0.35">
      <c r="B44" s="33" t="s">
        <v>334</v>
      </c>
      <c r="C44" s="61">
        <v>2</v>
      </c>
      <c r="D44" s="61">
        <v>2</v>
      </c>
      <c r="E44" s="61">
        <v>0</v>
      </c>
    </row>
    <row r="45" spans="2:5" hidden="1" x14ac:dyDescent="0.35">
      <c r="B45" s="33" t="s">
        <v>356</v>
      </c>
      <c r="C45" s="61">
        <v>14</v>
      </c>
      <c r="D45" s="61">
        <v>14</v>
      </c>
      <c r="E45" s="61">
        <v>0</v>
      </c>
    </row>
    <row r="46" spans="2:5" hidden="1" x14ac:dyDescent="0.35">
      <c r="B46" s="33" t="s">
        <v>357</v>
      </c>
      <c r="C46" s="61">
        <v>3</v>
      </c>
      <c r="D46" s="61">
        <v>3</v>
      </c>
      <c r="E46" s="61">
        <v>0</v>
      </c>
    </row>
    <row r="47" spans="2:5" hidden="1" x14ac:dyDescent="0.35">
      <c r="B47" s="33" t="s">
        <v>358</v>
      </c>
      <c r="C47" s="61">
        <v>6</v>
      </c>
      <c r="D47" s="61">
        <v>6</v>
      </c>
      <c r="E47" s="61">
        <v>0</v>
      </c>
    </row>
    <row r="48" spans="2:5" hidden="1" x14ac:dyDescent="0.35">
      <c r="B48" s="33" t="s">
        <v>365</v>
      </c>
      <c r="C48" s="61">
        <v>2</v>
      </c>
      <c r="D48" s="61">
        <v>2</v>
      </c>
      <c r="E48" s="61">
        <v>0</v>
      </c>
    </row>
    <row r="49" spans="2:5" hidden="1" x14ac:dyDescent="0.35">
      <c r="B49" s="33" t="s">
        <v>373</v>
      </c>
      <c r="C49" s="61">
        <v>1</v>
      </c>
      <c r="D49" s="61">
        <v>1</v>
      </c>
      <c r="E49" s="61">
        <v>0</v>
      </c>
    </row>
    <row r="50" spans="2:5" hidden="1" x14ac:dyDescent="0.35">
      <c r="B50" s="33" t="s">
        <v>359</v>
      </c>
      <c r="C50" s="61">
        <v>20</v>
      </c>
      <c r="D50" s="61">
        <v>20</v>
      </c>
      <c r="E50" s="61">
        <v>0</v>
      </c>
    </row>
    <row r="51" spans="2:5" hidden="1" x14ac:dyDescent="0.35">
      <c r="B51" s="33" t="s">
        <v>375</v>
      </c>
      <c r="C51" s="61">
        <v>118</v>
      </c>
      <c r="D51" s="61">
        <v>118</v>
      </c>
      <c r="E51" s="61">
        <v>0</v>
      </c>
    </row>
    <row r="52" spans="2:5" hidden="1" x14ac:dyDescent="0.35">
      <c r="B52" s="33" t="s">
        <v>378</v>
      </c>
      <c r="C52" s="61">
        <v>16</v>
      </c>
      <c r="D52" s="61">
        <v>16</v>
      </c>
      <c r="E52" s="61">
        <v>0</v>
      </c>
    </row>
    <row r="53" spans="2:5" hidden="1" x14ac:dyDescent="0.35">
      <c r="B53" s="33" t="s">
        <v>405</v>
      </c>
      <c r="C53" s="61">
        <v>89</v>
      </c>
      <c r="D53" s="61">
        <v>89</v>
      </c>
      <c r="E53" s="61">
        <v>0</v>
      </c>
    </row>
    <row r="54" spans="2:5" hidden="1" x14ac:dyDescent="0.35">
      <c r="B54" s="33" t="s">
        <v>426</v>
      </c>
      <c r="C54" s="61">
        <v>1</v>
      </c>
      <c r="D54" s="61">
        <v>1</v>
      </c>
      <c r="E54" s="61">
        <v>0</v>
      </c>
    </row>
    <row r="55" spans="2:5" hidden="1" x14ac:dyDescent="0.35">
      <c r="B55" s="33" t="s">
        <v>436</v>
      </c>
      <c r="C55" s="61">
        <v>4</v>
      </c>
      <c r="D55" s="61">
        <v>4</v>
      </c>
      <c r="E55" s="61">
        <v>0</v>
      </c>
    </row>
    <row r="56" spans="2:5" hidden="1" x14ac:dyDescent="0.35">
      <c r="B56" s="33" t="s">
        <v>435</v>
      </c>
      <c r="C56" s="61">
        <v>49</v>
      </c>
      <c r="D56" s="61">
        <v>49</v>
      </c>
      <c r="E56" s="61">
        <v>0</v>
      </c>
    </row>
    <row r="57" spans="2:5" hidden="1" x14ac:dyDescent="0.35">
      <c r="B57" s="33" t="s">
        <v>431</v>
      </c>
      <c r="C57" s="61">
        <v>13</v>
      </c>
      <c r="D57" s="61">
        <v>13</v>
      </c>
      <c r="E57" s="61">
        <v>0</v>
      </c>
    </row>
    <row r="58" spans="2:5" hidden="1" x14ac:dyDescent="0.35">
      <c r="B58" s="33" t="s">
        <v>430</v>
      </c>
      <c r="C58" s="61">
        <v>10</v>
      </c>
      <c r="D58" s="61">
        <v>10</v>
      </c>
      <c r="E58" s="61">
        <v>0</v>
      </c>
    </row>
    <row r="59" spans="2:5" hidden="1" x14ac:dyDescent="0.35">
      <c r="B59" s="33" t="s">
        <v>432</v>
      </c>
      <c r="C59" s="61">
        <v>12</v>
      </c>
      <c r="D59" s="61">
        <v>12</v>
      </c>
      <c r="E59" s="61">
        <v>0</v>
      </c>
    </row>
    <row r="60" spans="2:5" hidden="1" x14ac:dyDescent="0.35">
      <c r="B60" s="33" t="s">
        <v>447</v>
      </c>
      <c r="C60" s="61">
        <v>3</v>
      </c>
      <c r="D60" s="61">
        <v>3</v>
      </c>
      <c r="E60" s="61">
        <v>0</v>
      </c>
    </row>
    <row r="61" spans="2:5" hidden="1" x14ac:dyDescent="0.35">
      <c r="B61" s="33" t="s">
        <v>458</v>
      </c>
      <c r="C61" s="61">
        <v>9</v>
      </c>
      <c r="D61" s="61">
        <v>9</v>
      </c>
      <c r="E61" s="61">
        <v>0</v>
      </c>
    </row>
    <row r="62" spans="2:5" hidden="1" x14ac:dyDescent="0.35">
      <c r="B62" s="33" t="s">
        <v>462</v>
      </c>
      <c r="C62" s="61">
        <v>12</v>
      </c>
      <c r="D62" s="61">
        <v>12</v>
      </c>
      <c r="E62" s="61">
        <v>0</v>
      </c>
    </row>
    <row r="63" spans="2:5" hidden="1" x14ac:dyDescent="0.35">
      <c r="B63" s="33" t="s">
        <v>491</v>
      </c>
      <c r="C63" s="61">
        <v>14</v>
      </c>
      <c r="D63" s="61">
        <v>14</v>
      </c>
      <c r="E63" s="61">
        <v>0</v>
      </c>
    </row>
    <row r="64" spans="2:5" hidden="1" x14ac:dyDescent="0.35">
      <c r="B64" s="33" t="s">
        <v>489</v>
      </c>
      <c r="C64" s="61">
        <v>42</v>
      </c>
      <c r="D64" s="61">
        <v>42</v>
      </c>
      <c r="E64" s="61">
        <v>0</v>
      </c>
    </row>
    <row r="65" spans="2:5" hidden="1" x14ac:dyDescent="0.35">
      <c r="B65" s="33" t="s">
        <v>501</v>
      </c>
      <c r="C65" s="61">
        <v>1</v>
      </c>
      <c r="D65" s="61">
        <v>1</v>
      </c>
      <c r="E65" s="61">
        <v>0</v>
      </c>
    </row>
    <row r="66" spans="2:5" hidden="1" x14ac:dyDescent="0.35">
      <c r="B66" s="33" t="s">
        <v>518</v>
      </c>
      <c r="C66" s="61">
        <v>10</v>
      </c>
      <c r="D66" s="61">
        <v>10</v>
      </c>
      <c r="E66" s="61">
        <v>0</v>
      </c>
    </row>
    <row r="67" spans="2:5" hidden="1" x14ac:dyDescent="0.35">
      <c r="B67" s="33" t="s">
        <v>575</v>
      </c>
      <c r="C67" s="61">
        <v>5</v>
      </c>
      <c r="D67" s="61">
        <v>5</v>
      </c>
      <c r="E67" s="61">
        <v>0</v>
      </c>
    </row>
    <row r="68" spans="2:5" hidden="1" x14ac:dyDescent="0.35">
      <c r="B68" s="33" t="s">
        <v>573</v>
      </c>
      <c r="C68" s="61">
        <v>2</v>
      </c>
      <c r="D68" s="61">
        <v>2</v>
      </c>
      <c r="E68" s="61">
        <v>0</v>
      </c>
    </row>
    <row r="69" spans="2:5" hidden="1" x14ac:dyDescent="0.35">
      <c r="B69" s="33" t="s">
        <v>568</v>
      </c>
      <c r="C69" s="61">
        <v>1</v>
      </c>
      <c r="D69" s="61">
        <v>1</v>
      </c>
      <c r="E69" s="61">
        <v>0</v>
      </c>
    </row>
    <row r="70" spans="2:5" hidden="1" x14ac:dyDescent="0.35">
      <c r="B70" s="33" t="s">
        <v>583</v>
      </c>
      <c r="C70" s="61">
        <v>26</v>
      </c>
      <c r="D70" s="61">
        <v>26</v>
      </c>
      <c r="E70" s="61">
        <v>0</v>
      </c>
    </row>
    <row r="71" spans="2:5" hidden="1" x14ac:dyDescent="0.35">
      <c r="B71" s="33" t="s">
        <v>591</v>
      </c>
      <c r="C71" s="61">
        <v>12</v>
      </c>
      <c r="D71" s="61">
        <v>12</v>
      </c>
      <c r="E71" s="61">
        <v>0</v>
      </c>
    </row>
    <row r="72" spans="2:5" hidden="1" x14ac:dyDescent="0.35">
      <c r="B72" s="33" t="s">
        <v>592</v>
      </c>
      <c r="C72" s="61">
        <v>2</v>
      </c>
      <c r="D72" s="61">
        <v>2</v>
      </c>
      <c r="E72" s="61">
        <v>0</v>
      </c>
    </row>
    <row r="73" spans="2:5" hidden="1" x14ac:dyDescent="0.35">
      <c r="B73" s="33" t="s">
        <v>593</v>
      </c>
      <c r="C73" s="61">
        <v>4</v>
      </c>
      <c r="D73" s="61">
        <v>4</v>
      </c>
      <c r="E73" s="61">
        <v>0</v>
      </c>
    </row>
    <row r="74" spans="2:5" hidden="1" x14ac:dyDescent="0.35">
      <c r="B74" s="33" t="s">
        <v>579</v>
      </c>
      <c r="C74" s="61">
        <v>20</v>
      </c>
      <c r="D74" s="61">
        <v>20</v>
      </c>
      <c r="E74" s="61">
        <v>0</v>
      </c>
    </row>
    <row r="75" spans="2:5" hidden="1" x14ac:dyDescent="0.35">
      <c r="B75" s="33" t="s">
        <v>614</v>
      </c>
      <c r="C75" s="61">
        <v>40</v>
      </c>
      <c r="D75" s="61">
        <v>40</v>
      </c>
      <c r="E75" s="61">
        <v>0</v>
      </c>
    </row>
    <row r="76" spans="2:5" hidden="1" x14ac:dyDescent="0.35">
      <c r="B76" s="33" t="s">
        <v>613</v>
      </c>
      <c r="C76" s="61">
        <v>20</v>
      </c>
      <c r="D76" s="61">
        <v>20</v>
      </c>
      <c r="E76" s="61">
        <v>0</v>
      </c>
    </row>
    <row r="77" spans="2:5" hidden="1" x14ac:dyDescent="0.35">
      <c r="B77" s="33" t="s">
        <v>624</v>
      </c>
      <c r="C77" s="61">
        <v>44</v>
      </c>
      <c r="D77" s="61">
        <v>44</v>
      </c>
      <c r="E77" s="61">
        <v>0</v>
      </c>
    </row>
    <row r="78" spans="2:5" x14ac:dyDescent="0.35">
      <c r="B78" s="33" t="s">
        <v>625</v>
      </c>
      <c r="C78" s="61">
        <v>23</v>
      </c>
      <c r="D78" s="61">
        <v>21</v>
      </c>
      <c r="E78" s="61">
        <v>2</v>
      </c>
    </row>
    <row r="79" spans="2:5" hidden="1" x14ac:dyDescent="0.35">
      <c r="B79" s="33" t="s">
        <v>658</v>
      </c>
      <c r="C79" s="61">
        <v>2</v>
      </c>
      <c r="D79" s="61">
        <v>2</v>
      </c>
      <c r="E79" s="61">
        <v>0</v>
      </c>
    </row>
    <row r="80" spans="2:5" x14ac:dyDescent="0.35">
      <c r="B80" s="51" t="s">
        <v>645</v>
      </c>
      <c r="C80" s="52">
        <v>20</v>
      </c>
      <c r="D80" s="52">
        <v>18</v>
      </c>
      <c r="E80" s="52">
        <v>2</v>
      </c>
    </row>
    <row r="81" spans="2:5" hidden="1" x14ac:dyDescent="0.35">
      <c r="B81" s="33" t="s">
        <v>634</v>
      </c>
      <c r="C81" s="61">
        <v>20</v>
      </c>
      <c r="D81" s="61">
        <v>20</v>
      </c>
      <c r="E81" s="61">
        <v>0</v>
      </c>
    </row>
    <row r="82" spans="2:5" hidden="1" x14ac:dyDescent="0.35">
      <c r="B82" s="33" t="s">
        <v>655</v>
      </c>
      <c r="C82" s="61">
        <v>2</v>
      </c>
      <c r="D82" s="61">
        <v>2</v>
      </c>
      <c r="E82" s="61">
        <v>0</v>
      </c>
    </row>
    <row r="83" spans="2:5" hidden="1" x14ac:dyDescent="0.35">
      <c r="B83" s="33" t="s">
        <v>657</v>
      </c>
      <c r="C83" s="61">
        <v>10</v>
      </c>
      <c r="D83" s="61">
        <v>10</v>
      </c>
      <c r="E83" s="61">
        <v>0</v>
      </c>
    </row>
    <row r="84" spans="2:5" hidden="1" x14ac:dyDescent="0.35">
      <c r="B84" s="33" t="s">
        <v>677</v>
      </c>
      <c r="C84" s="61">
        <v>2</v>
      </c>
      <c r="D84" s="61">
        <v>2</v>
      </c>
      <c r="E84" s="61">
        <v>0</v>
      </c>
    </row>
    <row r="85" spans="2:5" x14ac:dyDescent="0.35">
      <c r="B85" s="33" t="s">
        <v>687</v>
      </c>
      <c r="C85" s="61">
        <v>12</v>
      </c>
      <c r="D85" s="61">
        <v>3</v>
      </c>
      <c r="E85" s="61">
        <v>9</v>
      </c>
    </row>
    <row r="86" spans="2:5" hidden="1" x14ac:dyDescent="0.35">
      <c r="B86" s="33" t="s">
        <v>691</v>
      </c>
      <c r="C86" s="61">
        <v>3</v>
      </c>
      <c r="D86" s="61">
        <v>3</v>
      </c>
      <c r="E86" s="61">
        <v>0</v>
      </c>
    </row>
    <row r="87" spans="2:5" hidden="1" x14ac:dyDescent="0.35">
      <c r="B87" s="33" t="s">
        <v>723</v>
      </c>
      <c r="C87" s="61">
        <v>1</v>
      </c>
      <c r="D87" s="61">
        <v>1</v>
      </c>
      <c r="E87" s="61">
        <v>0</v>
      </c>
    </row>
    <row r="88" spans="2:5" hidden="1" x14ac:dyDescent="0.35">
      <c r="B88" s="33" t="s">
        <v>724</v>
      </c>
      <c r="C88" s="61">
        <v>2</v>
      </c>
      <c r="D88" s="61">
        <v>2</v>
      </c>
      <c r="E88" s="61">
        <v>0</v>
      </c>
    </row>
    <row r="89" spans="2:5" hidden="1" x14ac:dyDescent="0.35">
      <c r="B89" s="33" t="s">
        <v>722</v>
      </c>
      <c r="C89" s="61">
        <v>4</v>
      </c>
      <c r="D89" s="61">
        <v>4</v>
      </c>
      <c r="E89" s="61">
        <v>0</v>
      </c>
    </row>
    <row r="90" spans="2:5" x14ac:dyDescent="0.35">
      <c r="B90" s="33" t="s">
        <v>733</v>
      </c>
      <c r="C90" s="61">
        <v>127</v>
      </c>
      <c r="D90" s="61">
        <v>123</v>
      </c>
      <c r="E90" s="61">
        <v>4</v>
      </c>
    </row>
    <row r="91" spans="2:5" hidden="1" x14ac:dyDescent="0.35">
      <c r="B91" s="33" t="s">
        <v>732</v>
      </c>
      <c r="C91" s="61">
        <v>10</v>
      </c>
      <c r="D91" s="61">
        <v>10</v>
      </c>
      <c r="E91" s="61">
        <v>0</v>
      </c>
    </row>
    <row r="92" spans="2:5" hidden="1" x14ac:dyDescent="0.35">
      <c r="B92" s="33" t="s">
        <v>748</v>
      </c>
      <c r="C92" s="61">
        <v>38</v>
      </c>
      <c r="D92" s="61">
        <v>38</v>
      </c>
      <c r="E92" s="61">
        <v>0</v>
      </c>
    </row>
    <row r="93" spans="2:5" hidden="1" x14ac:dyDescent="0.35">
      <c r="B93" s="33" t="s">
        <v>749</v>
      </c>
      <c r="C93" s="61">
        <v>1</v>
      </c>
      <c r="D93" s="61">
        <v>1</v>
      </c>
      <c r="E93" s="61">
        <v>0</v>
      </c>
    </row>
    <row r="94" spans="2:5" hidden="1" x14ac:dyDescent="0.35">
      <c r="B94" s="33" t="s">
        <v>752</v>
      </c>
      <c r="C94" s="61">
        <v>1</v>
      </c>
      <c r="D94" s="61">
        <v>1</v>
      </c>
      <c r="E94" s="61">
        <v>0</v>
      </c>
    </row>
    <row r="95" spans="2:5" x14ac:dyDescent="0.35">
      <c r="B95" s="51" t="s">
        <v>767</v>
      </c>
      <c r="C95" s="52">
        <v>44</v>
      </c>
      <c r="D95" s="52">
        <v>29</v>
      </c>
      <c r="E95" s="52">
        <v>15</v>
      </c>
    </row>
    <row r="96" spans="2:5" x14ac:dyDescent="0.35">
      <c r="B96" s="33" t="s">
        <v>769</v>
      </c>
      <c r="C96" s="33">
        <v>10</v>
      </c>
      <c r="D96" s="33">
        <v>8</v>
      </c>
      <c r="E96" s="33">
        <v>2</v>
      </c>
    </row>
    <row r="97" spans="2:5" hidden="1" x14ac:dyDescent="0.35">
      <c r="B97" s="33" t="s">
        <v>768</v>
      </c>
      <c r="C97" s="33">
        <v>1</v>
      </c>
      <c r="D97" s="33">
        <v>1</v>
      </c>
      <c r="E97" s="33">
        <v>0</v>
      </c>
    </row>
    <row r="98" spans="2:5" hidden="1" x14ac:dyDescent="0.35">
      <c r="B98" s="33" t="s">
        <v>795</v>
      </c>
      <c r="C98" s="33">
        <v>2</v>
      </c>
      <c r="D98" s="33">
        <v>2</v>
      </c>
      <c r="E98" s="33">
        <v>0</v>
      </c>
    </row>
    <row r="99" spans="2:5" x14ac:dyDescent="0.35">
      <c r="B99" s="33" t="s">
        <v>799</v>
      </c>
      <c r="C99" s="33">
        <v>21</v>
      </c>
      <c r="D99" s="33">
        <v>9</v>
      </c>
      <c r="E99" s="33">
        <v>12</v>
      </c>
    </row>
    <row r="100" spans="2:5" x14ac:dyDescent="0.35">
      <c r="B100" s="33" t="s">
        <v>822</v>
      </c>
      <c r="C100" s="33">
        <v>28</v>
      </c>
      <c r="D100" s="33">
        <v>21</v>
      </c>
      <c r="E100" s="33">
        <v>7</v>
      </c>
    </row>
    <row r="101" spans="2:5" x14ac:dyDescent="0.35">
      <c r="B101" s="51" t="s">
        <v>823</v>
      </c>
      <c r="C101" s="51">
        <v>15</v>
      </c>
      <c r="D101" s="51">
        <v>2</v>
      </c>
      <c r="E101" s="51">
        <v>13</v>
      </c>
    </row>
    <row r="102" spans="2:5" x14ac:dyDescent="0.35">
      <c r="B102" s="33" t="s">
        <v>825</v>
      </c>
      <c r="C102" s="33">
        <v>3</v>
      </c>
      <c r="E102" s="33">
        <v>3</v>
      </c>
    </row>
    <row r="103" spans="2:5" x14ac:dyDescent="0.35">
      <c r="B103" s="33" t="s">
        <v>824</v>
      </c>
      <c r="C103" s="33">
        <v>40</v>
      </c>
      <c r="D103" s="33">
        <v>17</v>
      </c>
      <c r="E103" s="33">
        <v>23</v>
      </c>
    </row>
    <row r="104" spans="2:5" x14ac:dyDescent="0.35">
      <c r="B104" s="33" t="s">
        <v>826</v>
      </c>
      <c r="C104" s="33">
        <v>10</v>
      </c>
      <c r="D104" s="33">
        <v>5</v>
      </c>
      <c r="E104" s="33">
        <v>5</v>
      </c>
    </row>
    <row r="105" spans="2:5" hidden="1" x14ac:dyDescent="0.35">
      <c r="B105" s="33" t="s">
        <v>828</v>
      </c>
      <c r="C105" s="33">
        <v>1</v>
      </c>
      <c r="D105" s="33">
        <v>1</v>
      </c>
      <c r="E105" s="33">
        <v>0</v>
      </c>
    </row>
    <row r="106" spans="2:5" x14ac:dyDescent="0.35">
      <c r="B106" s="76" t="s">
        <v>181</v>
      </c>
      <c r="C106" s="76">
        <v>2544</v>
      </c>
      <c r="D106" s="76">
        <v>2365</v>
      </c>
      <c r="E106" s="76">
        <v>179</v>
      </c>
    </row>
  </sheetData>
  <autoFilter ref="B3:E106" xr:uid="{B17A64E4-B0F4-480E-B8C3-EEF26E3C11F6}">
    <filterColumn colId="3">
      <filters>
        <filter val="12"/>
        <filter val="13"/>
        <filter val="15"/>
        <filter val="16"/>
        <filter val="179"/>
        <filter val="2"/>
        <filter val="23"/>
        <filter val="24"/>
        <filter val="28"/>
        <filter val="3"/>
        <filter val="4"/>
        <filter val="5"/>
        <filter val="7"/>
        <filter val="9"/>
      </filters>
    </filterColumn>
  </autoFilter>
  <pageMargins left="0.59055118110236227" right="0.39370078740157483" top="0.74803149606299213" bottom="0.74803149606299213" header="0.31496062992125984" footer="0.31496062992125984"/>
  <pageSetup orientation="landscape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2022-05-03T16:31:43Z</cp:lastPrinted>
  <dcterms:created xsi:type="dcterms:W3CDTF">2020-03-12T07:09:25Z</dcterms:created>
  <dcterms:modified xsi:type="dcterms:W3CDTF">2022-05-17T04:01:58Z</dcterms:modified>
</cp:coreProperties>
</file>